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040" windowHeight="1395" tabRatio="913" firstSheet="20" activeTab="21"/>
  </bookViews>
  <sheets>
    <sheet name="П1.3" sheetId="1" r:id="rId1"/>
    <sheet name="П1.4" sheetId="2" r:id="rId2"/>
    <sheet name="П1.5" sheetId="3" r:id="rId3"/>
    <sheet name="П1.6" sheetId="4" r:id="rId4"/>
    <sheet name="СОиТК" sheetId="32" r:id="rId5"/>
    <sheet name="численность ПП" sheetId="26" r:id="rId6"/>
    <sheet name="П1.16 ОТ рабочих" sheetId="6" r:id="rId7"/>
    <sheet name="П1.16 ОТ цех. рабочих" sheetId="7" r:id="rId8"/>
    <sheet name="Численность АУП, ИТР" sheetId="27" r:id="rId9"/>
    <sheet name="П1.16 ОТ общехоз. рабочих" sheetId="8" r:id="rId10"/>
    <sheet name="СиМ" sheetId="30" r:id="rId11"/>
    <sheet name="Произв. р." sheetId="28" r:id="rId12"/>
    <sheet name="Цеховые р." sheetId="9" state="hidden" r:id="rId13"/>
    <sheet name="Общехоз.р." sheetId="10" state="hidden" r:id="rId14"/>
    <sheet name="П1.15" sheetId="5" state="hidden" r:id="rId15"/>
    <sheet name="П1.17" sheetId="11" state="hidden" r:id="rId16"/>
    <sheet name="П1.17.1" sheetId="12" state="hidden" r:id="rId17"/>
    <sheet name="П1.21.3" sheetId="16" state="hidden" r:id="rId18"/>
    <sheet name="Прил. 2 П2.1" sheetId="20" state="hidden" r:id="rId19"/>
    <sheet name="Прил.2 П2.2" sheetId="21" state="hidden" r:id="rId20"/>
    <sheet name="Расчет 1" sheetId="31" r:id="rId21"/>
    <sheet name="Расчет на долгосрочный период" sheetId="23" r:id="rId22"/>
    <sheet name="Расчет аренды" sheetId="33" state="hidden" r:id="rId23"/>
    <sheet name="Расчет ср-в защиты и обучение" sheetId="34" state="hidden" r:id="rId24"/>
  </sheets>
  <externalReferences>
    <externalReference r:id="rId25"/>
    <externalReference r:id="rId26"/>
    <externalReference r:id="rId27"/>
  </externalReferences>
  <definedNames>
    <definedName name="\a">#REF!</definedName>
    <definedName name="\m">#REF!</definedName>
    <definedName name="\n">#REF!</definedName>
    <definedName name="\o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CompOt">[2]!CompOt</definedName>
    <definedName name="CompRas">[2]!CompRas</definedName>
    <definedName name="ew">[2]!ew</definedName>
    <definedName name="fg">[2]!fg</definedName>
    <definedName name="fil">#REF!</definedName>
    <definedName name="god">[3]Титульный!$F$9</definedName>
    <definedName name="org">#REF!</definedName>
    <definedName name="region_name">[3]Титульный!$F$7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второй">#REF!</definedName>
    <definedName name="ке">[2]!ке</definedName>
    <definedName name="первый">#REF!</definedName>
    <definedName name="третий">#REF!</definedName>
    <definedName name="цу">[2]!цу</definedName>
    <definedName name="четвертый">#REF!</definedName>
  </definedNames>
  <calcPr calcId="124519"/>
</workbook>
</file>

<file path=xl/calcChain.xml><?xml version="1.0" encoding="utf-8"?>
<calcChain xmlns="http://schemas.openxmlformats.org/spreadsheetml/2006/main">
  <c r="F12" i="23"/>
  <c r="H41"/>
  <c r="G41"/>
  <c r="F19"/>
  <c r="F23"/>
  <c r="F40"/>
  <c r="G46"/>
  <c r="H46" s="1"/>
  <c r="F43"/>
  <c r="E49"/>
  <c r="L26" i="28"/>
  <c r="E37" i="34"/>
  <c r="E36"/>
  <c r="E31"/>
  <c r="E29"/>
  <c r="E24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53" i="30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1" i="33"/>
  <c r="F21" i="31"/>
  <c r="H21" s="1"/>
  <c r="L21" i="10"/>
  <c r="L25" i="28"/>
  <c r="N25" s="1"/>
  <c r="E28" i="33"/>
  <c r="L20" i="28"/>
  <c r="L21"/>
  <c r="M14" i="3"/>
  <c r="E54" i="30"/>
  <c r="E23"/>
  <c r="E22"/>
  <c r="E21"/>
  <c r="E20"/>
  <c r="E64"/>
  <c r="F39" i="31"/>
  <c r="H39" s="1"/>
  <c r="E68" i="30"/>
  <c r="E72"/>
  <c r="M6"/>
  <c r="M7"/>
  <c r="M8"/>
  <c r="M9"/>
  <c r="M10"/>
  <c r="M11"/>
  <c r="M12"/>
  <c r="M13"/>
  <c r="M14"/>
  <c r="M5"/>
  <c r="G32" i="26"/>
  <c r="G26" i="32"/>
  <c r="F26"/>
  <c r="E26"/>
  <c r="D26"/>
  <c r="H23"/>
  <c r="I23"/>
  <c r="H22"/>
  <c r="K22"/>
  <c r="H21"/>
  <c r="I21"/>
  <c r="I20"/>
  <c r="H20"/>
  <c r="K20"/>
  <c r="H19"/>
  <c r="I19"/>
  <c r="H18"/>
  <c r="K18"/>
  <c r="H17"/>
  <c r="I17"/>
  <c r="J17"/>
  <c r="H16"/>
  <c r="I16"/>
  <c r="K16"/>
  <c r="H15"/>
  <c r="I15"/>
  <c r="H14"/>
  <c r="K14"/>
  <c r="H13"/>
  <c r="I13"/>
  <c r="H12"/>
  <c r="I12"/>
  <c r="J12"/>
  <c r="H11"/>
  <c r="I11"/>
  <c r="H10"/>
  <c r="K10"/>
  <c r="H9"/>
  <c r="I9"/>
  <c r="H8"/>
  <c r="I8"/>
  <c r="S16" i="4"/>
  <c r="R16"/>
  <c r="Q16"/>
  <c r="P16"/>
  <c r="O16"/>
  <c r="J16"/>
  <c r="K16"/>
  <c r="M16"/>
  <c r="F16"/>
  <c r="H16"/>
  <c r="E16"/>
  <c r="P12"/>
  <c r="Q12"/>
  <c r="O12"/>
  <c r="R12"/>
  <c r="S12"/>
  <c r="N12"/>
  <c r="E12"/>
  <c r="F12"/>
  <c r="G12"/>
  <c r="H12"/>
  <c r="I10"/>
  <c r="I12"/>
  <c r="I11"/>
  <c r="J12"/>
  <c r="K12"/>
  <c r="L12"/>
  <c r="M12"/>
  <c r="D10"/>
  <c r="D11"/>
  <c r="D11" i="16"/>
  <c r="G62" i="23"/>
  <c r="D14" i="4"/>
  <c r="I14"/>
  <c r="G77" i="23"/>
  <c r="H77" s="1"/>
  <c r="H62"/>
  <c r="F15" i="3"/>
  <c r="F9"/>
  <c r="E27" i="2"/>
  <c r="E26"/>
  <c r="K10"/>
  <c r="K9"/>
  <c r="J12"/>
  <c r="G10"/>
  <c r="G9"/>
  <c r="H10"/>
  <c r="H9"/>
  <c r="I10"/>
  <c r="I9"/>
  <c r="E9"/>
  <c r="L10"/>
  <c r="L9"/>
  <c r="M10"/>
  <c r="M9"/>
  <c r="N10"/>
  <c r="N9"/>
  <c r="F10"/>
  <c r="F9"/>
  <c r="J17"/>
  <c r="J16"/>
  <c r="J15"/>
  <c r="E17"/>
  <c r="E16"/>
  <c r="E15"/>
  <c r="J20"/>
  <c r="E20"/>
  <c r="L24"/>
  <c r="L21"/>
  <c r="N24"/>
  <c r="N21"/>
  <c r="K24"/>
  <c r="K21"/>
  <c r="G24"/>
  <c r="H24"/>
  <c r="H21"/>
  <c r="I24"/>
  <c r="I21"/>
  <c r="F24"/>
  <c r="G21"/>
  <c r="E20" i="3"/>
  <c r="E21"/>
  <c r="F17"/>
  <c r="E23" i="2"/>
  <c r="J23"/>
  <c r="J26"/>
  <c r="E14"/>
  <c r="E13"/>
  <c r="E12"/>
  <c r="J13"/>
  <c r="J14"/>
  <c r="H18" i="31"/>
  <c r="H24"/>
  <c r="H26"/>
  <c r="H27"/>
  <c r="H28"/>
  <c r="H29"/>
  <c r="H30"/>
  <c r="H31"/>
  <c r="H32"/>
  <c r="H34"/>
  <c r="H35"/>
  <c r="H40"/>
  <c r="H44"/>
  <c r="H45"/>
  <c r="H46"/>
  <c r="H49"/>
  <c r="H51"/>
  <c r="H56"/>
  <c r="H57"/>
  <c r="L18" i="2"/>
  <c r="L19" s="1"/>
  <c r="M18"/>
  <c r="M19" s="1"/>
  <c r="N18"/>
  <c r="E69" i="31"/>
  <c r="D69"/>
  <c r="A60"/>
  <c r="A61"/>
  <c r="A62"/>
  <c r="A63"/>
  <c r="F50"/>
  <c r="F36"/>
  <c r="H36"/>
  <c r="F25"/>
  <c r="K21" i="28"/>
  <c r="H21"/>
  <c r="K20"/>
  <c r="H20"/>
  <c r="K19"/>
  <c r="H19"/>
  <c r="N23" i="10"/>
  <c r="K23"/>
  <c r="H23"/>
  <c r="N22"/>
  <c r="K22"/>
  <c r="H22"/>
  <c r="H19"/>
  <c r="N21"/>
  <c r="N19" s="1"/>
  <c r="L19" s="1"/>
  <c r="K21"/>
  <c r="H21"/>
  <c r="N23" i="9"/>
  <c r="K23"/>
  <c r="H23"/>
  <c r="N22"/>
  <c r="K22"/>
  <c r="K19"/>
  <c r="H22"/>
  <c r="N21"/>
  <c r="K21"/>
  <c r="H21"/>
  <c r="H19"/>
  <c r="K25" i="28"/>
  <c r="K23"/>
  <c r="H25"/>
  <c r="G37" i="23"/>
  <c r="H37"/>
  <c r="D22" i="16"/>
  <c r="E21"/>
  <c r="E29"/>
  <c r="I29" i="28"/>
  <c r="F29"/>
  <c r="N27"/>
  <c r="K27"/>
  <c r="H27"/>
  <c r="N26"/>
  <c r="F33" i="31"/>
  <c r="H33" s="1"/>
  <c r="K26" i="28"/>
  <c r="H26"/>
  <c r="N24"/>
  <c r="K24"/>
  <c r="H24"/>
  <c r="H23"/>
  <c r="K18"/>
  <c r="H18"/>
  <c r="K17"/>
  <c r="H17"/>
  <c r="K16"/>
  <c r="K29"/>
  <c r="H16"/>
  <c r="B4"/>
  <c r="A4"/>
  <c r="B3"/>
  <c r="A3"/>
  <c r="B2"/>
  <c r="A2"/>
  <c r="C1"/>
  <c r="B1"/>
  <c r="A1"/>
  <c r="E10" i="23"/>
  <c r="E12" s="1"/>
  <c r="J28" i="2"/>
  <c r="G18"/>
  <c r="G19" s="1"/>
  <c r="H18"/>
  <c r="H19" s="1"/>
  <c r="I18"/>
  <c r="E28"/>
  <c r="P42" i="1"/>
  <c r="L42"/>
  <c r="P38"/>
  <c r="L38"/>
  <c r="L37"/>
  <c r="P37"/>
  <c r="P33"/>
  <c r="L33"/>
  <c r="P32"/>
  <c r="L32"/>
  <c r="P26"/>
  <c r="L26"/>
  <c r="P21"/>
  <c r="P20"/>
  <c r="L21"/>
  <c r="L20"/>
  <c r="P14"/>
  <c r="L14"/>
  <c r="O10"/>
  <c r="O9"/>
  <c r="N10"/>
  <c r="M10"/>
  <c r="P10"/>
  <c r="P11"/>
  <c r="L10"/>
  <c r="L9"/>
  <c r="N9"/>
  <c r="K42"/>
  <c r="K38"/>
  <c r="K33"/>
  <c r="K32"/>
  <c r="K26"/>
  <c r="K21"/>
  <c r="K20"/>
  <c r="K14"/>
  <c r="I10"/>
  <c r="I9"/>
  <c r="G42"/>
  <c r="G38"/>
  <c r="G33"/>
  <c r="G32"/>
  <c r="G26"/>
  <c r="G21"/>
  <c r="G20"/>
  <c r="G14"/>
  <c r="G10"/>
  <c r="H10"/>
  <c r="J10"/>
  <c r="J9"/>
  <c r="E23" i="3"/>
  <c r="E22"/>
  <c r="E19"/>
  <c r="I17"/>
  <c r="H17"/>
  <c r="G17"/>
  <c r="E16"/>
  <c r="E14"/>
  <c r="E13"/>
  <c r="E12"/>
  <c r="E11"/>
  <c r="E10"/>
  <c r="I9"/>
  <c r="I15"/>
  <c r="H9"/>
  <c r="H15"/>
  <c r="G9"/>
  <c r="L17"/>
  <c r="N17"/>
  <c r="K17"/>
  <c r="J16"/>
  <c r="J22"/>
  <c r="J23"/>
  <c r="L9"/>
  <c r="L15"/>
  <c r="M9"/>
  <c r="N9"/>
  <c r="N15"/>
  <c r="K9"/>
  <c r="K15"/>
  <c r="J14"/>
  <c r="F74" i="23"/>
  <c r="G74" s="1"/>
  <c r="H74" s="1"/>
  <c r="J13" i="3"/>
  <c r="J12"/>
  <c r="J11"/>
  <c r="J10"/>
  <c r="O11" i="4"/>
  <c r="O10"/>
  <c r="O15"/>
  <c r="O14"/>
  <c r="H18" i="12"/>
  <c r="D8"/>
  <c r="G27"/>
  <c r="H27"/>
  <c r="H25"/>
  <c r="H26"/>
  <c r="L25" i="9"/>
  <c r="I25" i="10"/>
  <c r="K16"/>
  <c r="K20"/>
  <c r="K18"/>
  <c r="K17"/>
  <c r="H20"/>
  <c r="H18"/>
  <c r="H17"/>
  <c r="H16"/>
  <c r="N20" i="9"/>
  <c r="N18"/>
  <c r="K18"/>
  <c r="K17"/>
  <c r="K16"/>
  <c r="H18"/>
  <c r="H17"/>
  <c r="H16"/>
  <c r="K20"/>
  <c r="H20"/>
  <c r="F25"/>
  <c r="I24" i="8"/>
  <c r="I27"/>
  <c r="I19"/>
  <c r="I21"/>
  <c r="I24" i="7"/>
  <c r="I19"/>
  <c r="I21"/>
  <c r="I23" i="6"/>
  <c r="I35"/>
  <c r="I18"/>
  <c r="I20"/>
  <c r="G35" i="26"/>
  <c r="G36"/>
  <c r="G33"/>
  <c r="G31"/>
  <c r="G28"/>
  <c r="G29"/>
  <c r="G27"/>
  <c r="G25"/>
  <c r="G24"/>
  <c r="G14"/>
  <c r="G15"/>
  <c r="G16"/>
  <c r="G18"/>
  <c r="G19"/>
  <c r="G23"/>
  <c r="G13"/>
  <c r="G10"/>
  <c r="G9"/>
  <c r="F38"/>
  <c r="G38" s="1"/>
  <c r="F37"/>
  <c r="G37"/>
  <c r="F22"/>
  <c r="G22" s="1"/>
  <c r="F21"/>
  <c r="G21" s="1"/>
  <c r="F20"/>
  <c r="G20" s="1"/>
  <c r="F17"/>
  <c r="G17"/>
  <c r="I54" i="20"/>
  <c r="I53"/>
  <c r="I46"/>
  <c r="H11" i="2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G19" i="27"/>
  <c r="G18"/>
  <c r="G17"/>
  <c r="G11" i="26"/>
  <c r="H52" i="21"/>
  <c r="A59" i="23"/>
  <c r="A62" s="1"/>
  <c r="A65" s="1"/>
  <c r="A71"/>
  <c r="A74" s="1"/>
  <c r="A77" s="1"/>
  <c r="A80" s="1"/>
  <c r="A83" s="1"/>
  <c r="A86" s="1"/>
  <c r="A87" s="1"/>
  <c r="A88" s="1"/>
  <c r="A89" s="1"/>
  <c r="A1" i="8"/>
  <c r="B1"/>
  <c r="C1"/>
  <c r="A2"/>
  <c r="B2"/>
  <c r="A3"/>
  <c r="B3"/>
  <c r="A4"/>
  <c r="B4"/>
  <c r="G19"/>
  <c r="H19"/>
  <c r="H21"/>
  <c r="H24"/>
  <c r="G21"/>
  <c r="G24"/>
  <c r="A1" i="10"/>
  <c r="B1"/>
  <c r="C1"/>
  <c r="A2"/>
  <c r="B2"/>
  <c r="A3"/>
  <c r="B3"/>
  <c r="A4"/>
  <c r="B4"/>
  <c r="F25"/>
  <c r="A1" i="6"/>
  <c r="B1"/>
  <c r="C1"/>
  <c r="A2"/>
  <c r="B2"/>
  <c r="A3"/>
  <c r="B3"/>
  <c r="A4"/>
  <c r="B4"/>
  <c r="H18"/>
  <c r="H20"/>
  <c r="H23"/>
  <c r="G20"/>
  <c r="G23"/>
  <c r="A1" i="7"/>
  <c r="B1"/>
  <c r="C1"/>
  <c r="A2"/>
  <c r="B2"/>
  <c r="A3"/>
  <c r="B3"/>
  <c r="A4"/>
  <c r="B4"/>
  <c r="G19"/>
  <c r="G21"/>
  <c r="G24"/>
  <c r="H19"/>
  <c r="H21"/>
  <c r="H24"/>
  <c r="I25" i="9"/>
  <c r="E22" i="5"/>
  <c r="D24" i="12"/>
  <c r="D25"/>
  <c r="D26"/>
  <c r="D27"/>
  <c r="D23"/>
  <c r="F24"/>
  <c r="F25"/>
  <c r="F23"/>
  <c r="E10" i="11"/>
  <c r="F26" i="12"/>
  <c r="F27"/>
  <c r="E8"/>
  <c r="F8"/>
  <c r="G8"/>
  <c r="H8"/>
  <c r="I8"/>
  <c r="D13"/>
  <c r="E13"/>
  <c r="F13"/>
  <c r="G13"/>
  <c r="H13"/>
  <c r="I13"/>
  <c r="D18"/>
  <c r="E18"/>
  <c r="F18"/>
  <c r="G18"/>
  <c r="I18"/>
  <c r="E24"/>
  <c r="E25"/>
  <c r="E23"/>
  <c r="E26"/>
  <c r="E27"/>
  <c r="G24"/>
  <c r="G23"/>
  <c r="G25"/>
  <c r="G26"/>
  <c r="H24"/>
  <c r="H23"/>
  <c r="I24"/>
  <c r="I25"/>
  <c r="I26"/>
  <c r="I23"/>
  <c r="F13" i="11"/>
  <c r="I27" i="12"/>
  <c r="H10" i="21"/>
  <c r="H51"/>
  <c r="J15" i="20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I35"/>
  <c r="I52"/>
  <c r="J36"/>
  <c r="J37"/>
  <c r="J38"/>
  <c r="J39"/>
  <c r="J40"/>
  <c r="J53"/>
  <c r="J41"/>
  <c r="J42"/>
  <c r="J46"/>
  <c r="J43"/>
  <c r="J44"/>
  <c r="J45"/>
  <c r="J47"/>
  <c r="J48"/>
  <c r="J49"/>
  <c r="J50"/>
  <c r="I51"/>
  <c r="I55"/>
  <c r="A1" i="9"/>
  <c r="B1"/>
  <c r="C1"/>
  <c r="A2"/>
  <c r="B2"/>
  <c r="A3"/>
  <c r="B3"/>
  <c r="A4"/>
  <c r="B4"/>
  <c r="H50" i="31"/>
  <c r="H27" i="8"/>
  <c r="H33"/>
  <c r="I33" i="7"/>
  <c r="E11" i="16"/>
  <c r="F47" i="23"/>
  <c r="G47" s="1"/>
  <c r="H47" s="1"/>
  <c r="J10" i="2"/>
  <c r="D21" i="16"/>
  <c r="D29"/>
  <c r="G27" i="7"/>
  <c r="F9" i="11"/>
  <c r="F11" s="1"/>
  <c r="H36" i="8"/>
  <c r="H39"/>
  <c r="G36" i="7"/>
  <c r="G39"/>
  <c r="G33" i="8"/>
  <c r="L47" i="1"/>
  <c r="F21" i="2"/>
  <c r="H35" i="6"/>
  <c r="H38"/>
  <c r="H26"/>
  <c r="H27" i="7"/>
  <c r="H33"/>
  <c r="P9" i="1"/>
  <c r="I10" i="32"/>
  <c r="I14"/>
  <c r="I18"/>
  <c r="I22"/>
  <c r="K9"/>
  <c r="K11"/>
  <c r="K13"/>
  <c r="K15"/>
  <c r="K17"/>
  <c r="L17"/>
  <c r="K19"/>
  <c r="K21"/>
  <c r="K23"/>
  <c r="K8"/>
  <c r="M15" i="3"/>
  <c r="M21"/>
  <c r="M19"/>
  <c r="F13" i="31"/>
  <c r="F14" s="1"/>
  <c r="J9" i="3"/>
  <c r="I26" i="32"/>
  <c r="K12"/>
  <c r="I33" i="8"/>
  <c r="I36"/>
  <c r="I39"/>
  <c r="I38" i="6"/>
  <c r="I26"/>
  <c r="I29"/>
  <c r="I32"/>
  <c r="J51" i="20"/>
  <c r="J55"/>
  <c r="F21" i="5"/>
  <c r="F52" i="31"/>
  <c r="H52" s="1"/>
  <c r="G27" i="8"/>
  <c r="G42"/>
  <c r="G30"/>
  <c r="G43"/>
  <c r="G45"/>
  <c r="G47"/>
  <c r="G39"/>
  <c r="K10" i="1"/>
  <c r="H9"/>
  <c r="G35" i="6"/>
  <c r="G38"/>
  <c r="G26"/>
  <c r="J9" i="2"/>
  <c r="K18"/>
  <c r="P47" i="1"/>
  <c r="G29" i="6"/>
  <c r="G32"/>
  <c r="G41"/>
  <c r="G42"/>
  <c r="G44"/>
  <c r="G46"/>
  <c r="H36" i="7"/>
  <c r="H42"/>
  <c r="H30"/>
  <c r="H43"/>
  <c r="H45"/>
  <c r="H47"/>
  <c r="H39"/>
  <c r="N19" i="9"/>
  <c r="G15" i="3"/>
  <c r="E9"/>
  <c r="E15"/>
  <c r="M9" i="1"/>
  <c r="I19" i="2"/>
  <c r="H26" i="32"/>
  <c r="J26"/>
  <c r="K19" i="10"/>
  <c r="K25"/>
  <c r="F53" i="31"/>
  <c r="E21" i="2"/>
  <c r="E10"/>
  <c r="J54" i="20"/>
  <c r="G33" i="7"/>
  <c r="G30"/>
  <c r="H29" i="6"/>
  <c r="H32"/>
  <c r="G36" i="8"/>
  <c r="I30"/>
  <c r="I42"/>
  <c r="I27" i="7"/>
  <c r="I39"/>
  <c r="I30"/>
  <c r="I36"/>
  <c r="G37" i="1"/>
  <c r="K37"/>
  <c r="N19" i="2"/>
  <c r="H30" i="8"/>
  <c r="H25" i="10"/>
  <c r="G9" i="1"/>
  <c r="G47"/>
  <c r="H25" i="31"/>
  <c r="E17" i="3"/>
  <c r="D12" i="4"/>
  <c r="I56" i="20"/>
  <c r="J35"/>
  <c r="J52"/>
  <c r="H25" i="9"/>
  <c r="K25"/>
  <c r="H29" i="28"/>
  <c r="E24" i="2"/>
  <c r="M17" i="3"/>
  <c r="J19"/>
  <c r="J15"/>
  <c r="F12" i="31"/>
  <c r="F71" i="23"/>
  <c r="K26" i="32"/>
  <c r="L26"/>
  <c r="L12"/>
  <c r="I41" i="6"/>
  <c r="I42"/>
  <c r="J56" i="20"/>
  <c r="H42" i="6"/>
  <c r="H44"/>
  <c r="K19" i="2"/>
  <c r="J18"/>
  <c r="J19" s="1"/>
  <c r="H41" i="6"/>
  <c r="H53" i="31"/>
  <c r="F18" i="2"/>
  <c r="E18" s="1"/>
  <c r="E19" s="1"/>
  <c r="K47" i="1"/>
  <c r="I43" i="8"/>
  <c r="H43"/>
  <c r="H45"/>
  <c r="H47"/>
  <c r="H42"/>
  <c r="K9" i="1"/>
  <c r="K11"/>
  <c r="G42" i="7"/>
  <c r="G43"/>
  <c r="G45"/>
  <c r="G47"/>
  <c r="I42"/>
  <c r="I43"/>
  <c r="I45"/>
  <c r="F7" i="31"/>
  <c r="H7" s="1"/>
  <c r="F56" i="23"/>
  <c r="C6" i="30" s="1"/>
  <c r="C12" s="1"/>
  <c r="E5" s="1"/>
  <c r="E16" s="1"/>
  <c r="N19" i="28" s="1"/>
  <c r="L15" i="4"/>
  <c r="J17" i="3"/>
  <c r="I13" i="31"/>
  <c r="H12"/>
  <c r="F15"/>
  <c r="G71" i="23"/>
  <c r="H71" s="1"/>
  <c r="N16" i="9"/>
  <c r="I47" i="7"/>
  <c r="N17" i="9"/>
  <c r="E17" i="5"/>
  <c r="H46" i="6"/>
  <c r="E19" i="5"/>
  <c r="F19" i="2"/>
  <c r="G56" i="23"/>
  <c r="H56" s="1"/>
  <c r="F8" i="31"/>
  <c r="L16" i="4"/>
  <c r="I15"/>
  <c r="I16"/>
  <c r="F83" i="23" s="1"/>
  <c r="G83" s="1"/>
  <c r="H83" s="1"/>
  <c r="I15" i="31"/>
  <c r="H15"/>
  <c r="F59"/>
  <c r="H59" s="1"/>
  <c r="F10"/>
  <c r="I10" s="1"/>
  <c r="N25" i="9"/>
  <c r="F16" i="31"/>
  <c r="H16" s="1"/>
  <c r="I16"/>
  <c r="L18" i="28"/>
  <c r="H47" i="31"/>
  <c r="F43"/>
  <c r="N18" i="10"/>
  <c r="N20"/>
  <c r="H43" i="31"/>
  <c r="H53" i="21"/>
  <c r="H55"/>
  <c r="F16" i="27"/>
  <c r="F9" i="23"/>
  <c r="F39" i="26"/>
  <c r="G39"/>
  <c r="F17" i="31"/>
  <c r="H17"/>
  <c r="G65"/>
  <c r="G66"/>
  <c r="G68"/>
  <c r="G67"/>
  <c r="G16" i="27"/>
  <c r="E20"/>
  <c r="M16" i="30"/>
  <c r="C11"/>
  <c r="E56"/>
  <c r="E59"/>
  <c r="E77"/>
  <c r="F41" i="31"/>
  <c r="H41" s="1"/>
  <c r="E35" i="5" l="1"/>
  <c r="E39" s="1"/>
  <c r="E44" s="1"/>
  <c r="G40" i="26"/>
  <c r="G41" s="1"/>
  <c r="F62" i="31"/>
  <c r="G9" i="23"/>
  <c r="F80"/>
  <c r="G80" s="1"/>
  <c r="H80" s="1"/>
  <c r="F44"/>
  <c r="G44" s="1"/>
  <c r="H44" s="1"/>
  <c r="G69" i="31"/>
  <c r="L19" i="28"/>
  <c r="F20" i="31"/>
  <c r="F8" i="27"/>
  <c r="G8" s="1"/>
  <c r="F14"/>
  <c r="G14" s="1"/>
  <c r="F7"/>
  <c r="G7" s="1"/>
  <c r="F13"/>
  <c r="G13" s="1"/>
  <c r="I14" i="6"/>
  <c r="I44" s="1"/>
  <c r="F11" i="27"/>
  <c r="G11" s="1"/>
  <c r="F12"/>
  <c r="G12" s="1"/>
  <c r="F10"/>
  <c r="G10" s="1"/>
  <c r="F9"/>
  <c r="G9" s="1"/>
  <c r="F20"/>
  <c r="G20" s="1"/>
  <c r="G42" i="26"/>
  <c r="G43" s="1"/>
  <c r="I14" i="31"/>
  <c r="H14"/>
  <c r="F42"/>
  <c r="N23" i="28"/>
  <c r="L23" s="1"/>
  <c r="F9" i="31"/>
  <c r="H10"/>
  <c r="H8"/>
  <c r="H13"/>
  <c r="M27" i="2"/>
  <c r="I8" i="31"/>
  <c r="F23"/>
  <c r="F59" i="23"/>
  <c r="H10" l="1"/>
  <c r="H9"/>
  <c r="G10"/>
  <c r="G12" s="1"/>
  <c r="I46" i="6"/>
  <c r="N16" i="28"/>
  <c r="F17" i="5"/>
  <c r="G15" i="23"/>
  <c r="F19" i="31"/>
  <c r="H20"/>
  <c r="G15" i="27"/>
  <c r="G21" s="1"/>
  <c r="I15" i="8" s="1"/>
  <c r="I45" s="1"/>
  <c r="F65" i="23"/>
  <c r="G65" s="1"/>
  <c r="H65" s="1"/>
  <c r="G59"/>
  <c r="F93"/>
  <c r="F53"/>
  <c r="F88"/>
  <c r="M24" i="2"/>
  <c r="J27"/>
  <c r="H9" i="31"/>
  <c r="I9"/>
  <c r="G36" i="23"/>
  <c r="H36" s="1"/>
  <c r="H42" i="31"/>
  <c r="H23"/>
  <c r="G22" i="23" l="1"/>
  <c r="H22" s="1"/>
  <c r="G23"/>
  <c r="H23" s="1"/>
  <c r="G29"/>
  <c r="H29" s="1"/>
  <c r="G27"/>
  <c r="H27" s="1"/>
  <c r="G35"/>
  <c r="H35" s="1"/>
  <c r="G16"/>
  <c r="H16" s="1"/>
  <c r="G19"/>
  <c r="H19" s="1"/>
  <c r="G31"/>
  <c r="H31" s="1"/>
  <c r="G26"/>
  <c r="H26" s="1"/>
  <c r="G30"/>
  <c r="H30" s="1"/>
  <c r="G24"/>
  <c r="H24" s="1"/>
  <c r="G21"/>
  <c r="G28"/>
  <c r="H28" s="1"/>
  <c r="G25"/>
  <c r="H25" s="1"/>
  <c r="G34"/>
  <c r="H34" s="1"/>
  <c r="J24" i="2"/>
  <c r="M21"/>
  <c r="G88" i="23"/>
  <c r="H59"/>
  <c r="G53"/>
  <c r="N17" i="28"/>
  <c r="F19" i="5"/>
  <c r="G14" i="23"/>
  <c r="H15"/>
  <c r="L16" i="28"/>
  <c r="N16" i="10"/>
  <c r="I47" i="8"/>
  <c r="N17" i="10" s="1"/>
  <c r="L17" s="1"/>
  <c r="H19" i="31"/>
  <c r="H21" i="23" l="1"/>
  <c r="H20" s="1"/>
  <c r="H18" s="1"/>
  <c r="G20"/>
  <c r="G18" s="1"/>
  <c r="L16" i="10"/>
  <c r="L25" s="1"/>
  <c r="F22" i="5" s="1"/>
  <c r="F35" s="1"/>
  <c r="F39" s="1"/>
  <c r="F44" s="1"/>
  <c r="N25" i="10"/>
  <c r="L17" i="28"/>
  <c r="F48" i="31"/>
  <c r="G15" i="4"/>
  <c r="J21" i="2"/>
  <c r="G17" i="23"/>
  <c r="H14"/>
  <c r="H88"/>
  <c r="H53"/>
  <c r="F22" i="31"/>
  <c r="N29" i="28"/>
  <c r="L29"/>
  <c r="H17" i="23" l="1"/>
  <c r="G32"/>
  <c r="G42"/>
  <c r="F48"/>
  <c r="F49" s="1"/>
  <c r="F52" s="1"/>
  <c r="F91"/>
  <c r="H48" i="31"/>
  <c r="F54"/>
  <c r="H22"/>
  <c r="F37"/>
  <c r="G16" i="4"/>
  <c r="N15"/>
  <c r="N16" s="1"/>
  <c r="D15"/>
  <c r="D16" s="1"/>
  <c r="F89" i="23" l="1"/>
  <c r="F54"/>
  <c r="F55" i="31"/>
  <c r="H37"/>
  <c r="H32" i="23"/>
  <c r="F11" i="31"/>
  <c r="F68" i="23"/>
  <c r="G68" s="1"/>
  <c r="H68" s="1"/>
  <c r="H54" i="31"/>
  <c r="H42" i="23"/>
  <c r="G48"/>
  <c r="G49" s="1"/>
  <c r="G52" s="1"/>
  <c r="G87" l="1"/>
  <c r="G89" s="1"/>
  <c r="G54"/>
  <c r="H11" i="31"/>
  <c r="I11"/>
  <c r="H55"/>
  <c r="F58"/>
  <c r="H48" i="23"/>
  <c r="H49" s="1"/>
  <c r="H52" s="1"/>
  <c r="I25" i="31" l="1"/>
  <c r="I21"/>
  <c r="I39"/>
  <c r="I50"/>
  <c r="I36"/>
  <c r="H58"/>
  <c r="F68"/>
  <c r="F65"/>
  <c r="I45"/>
  <c r="I46"/>
  <c r="I32"/>
  <c r="I35"/>
  <c r="I44"/>
  <c r="I57"/>
  <c r="I34"/>
  <c r="I30"/>
  <c r="I33"/>
  <c r="I24"/>
  <c r="I52"/>
  <c r="I51"/>
  <c r="I41"/>
  <c r="I26"/>
  <c r="I29"/>
  <c r="I49"/>
  <c r="I28"/>
  <c r="I40"/>
  <c r="F61"/>
  <c r="F63" s="1"/>
  <c r="I56"/>
  <c r="I27"/>
  <c r="F66"/>
  <c r="I53"/>
  <c r="F67"/>
  <c r="I47"/>
  <c r="I43"/>
  <c r="I31"/>
  <c r="I42"/>
  <c r="I20"/>
  <c r="I23"/>
  <c r="I19"/>
  <c r="I48"/>
  <c r="I22"/>
  <c r="I54"/>
  <c r="I37"/>
  <c r="H87" i="23"/>
  <c r="H89" s="1"/>
  <c r="H54"/>
  <c r="I55" i="31"/>
  <c r="F69" l="1"/>
</calcChain>
</file>

<file path=xl/comments1.xml><?xml version="1.0" encoding="utf-8"?>
<comments xmlns="http://schemas.openxmlformats.org/spreadsheetml/2006/main">
  <authors>
    <author>Юдникова СЭ</author>
    <author>ashikhmin</author>
  </authors>
  <commentList>
    <comment ref="G6" authorId="0">
      <text>
        <r>
          <rPr>
            <b/>
            <sz val="9"/>
            <color indexed="81"/>
            <rFont val="Tahoma"/>
            <charset val="1"/>
          </rPr>
          <t>при расчете на 2015 год принимаются значения фактического периода - 2013 год</t>
        </r>
      </text>
    </comment>
    <comment ref="E13" authorId="0">
      <text>
        <r>
          <rPr>
            <sz val="8"/>
            <color indexed="81"/>
            <rFont val="Tahoma"/>
            <family val="2"/>
            <charset val="204"/>
          </rPr>
          <t>=365*24=8760</t>
        </r>
      </text>
    </comment>
    <comment ref="P47" authorId="1">
      <text>
        <r>
          <rPr>
            <b/>
            <sz val="9"/>
            <color indexed="81"/>
            <rFont val="Tahoma"/>
            <family val="2"/>
            <charset val="204"/>
          </rPr>
          <t>ashikhmin:</t>
        </r>
        <r>
          <rPr>
            <sz val="9"/>
            <color indexed="81"/>
            <rFont val="Tahoma"/>
            <family val="2"/>
            <charset val="204"/>
          </rPr>
          <t xml:space="preserve">
Размер потерь ээ определен в соответствии с приказом Минэнерго от 30 сентября 2014 г. N 674 и составляет 6.12% от отпуска ээ в сеть</t>
        </r>
      </text>
    </comment>
  </commentList>
</comments>
</file>

<file path=xl/comments10.xml><?xml version="1.0" encoding="utf-8"?>
<comments xmlns="http://schemas.openxmlformats.org/spreadsheetml/2006/main">
  <authors>
    <author>Юдникова СЭ</author>
  </authors>
  <commentList>
    <comment ref="I15" authorId="0">
      <text>
        <r>
          <rPr>
            <sz val="8"/>
            <color indexed="81"/>
            <rFont val="Tahoma"/>
            <family val="2"/>
            <charset val="204"/>
          </rPr>
          <t>определенная в "листе численность АУП, ИТР" нормативная численность, без выделения цехового персонала</t>
        </r>
      </text>
    </comment>
    <comment ref="I17" authorId="0">
      <text>
        <r>
          <rPr>
            <sz val="8"/>
            <color indexed="81"/>
            <rFont val="Tahoma"/>
            <family val="2"/>
            <charset val="204"/>
          </rPr>
          <t>в соответствии с принятым отраслевым тарифным соглашением</t>
        </r>
      </text>
    </comment>
    <comment ref="I18" authorId="0">
      <text>
        <r>
          <rPr>
            <sz val="8"/>
            <color indexed="81"/>
            <rFont val="Tahoma"/>
            <family val="2"/>
            <charset val="204"/>
          </rPr>
          <t>используется при применении тарифной ставки прошлых периодов (за основу берется ИПЦ)</t>
        </r>
      </text>
    </comment>
    <comment ref="I26" authorId="0">
      <text>
        <r>
          <rPr>
            <sz val="8"/>
            <color indexed="81"/>
            <rFont val="Tahoma"/>
            <family val="2"/>
            <charset val="204"/>
          </rPr>
          <t>при наличии в соответствии с положением об оплатетруда или иным локальным нормативно- правовым актом(НПА)</t>
        </r>
      </text>
    </comment>
    <comment ref="I29" authorId="0">
      <text>
        <r>
          <rPr>
            <sz val="8"/>
            <color indexed="81"/>
            <rFont val="Tahoma"/>
            <family val="2"/>
            <charset val="204"/>
          </rPr>
          <t>процент премирования в соответствии с положением об оплатетруда или иным локальным нормативно- правовым актом(НПА)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1" authorId="0">
      <text>
        <r>
          <rPr>
            <sz val="8"/>
            <color indexed="81"/>
            <rFont val="Tahoma"/>
            <family val="2"/>
            <charset val="204"/>
          </rPr>
          <t>Районный коэффициент к заработной плате в г.Кирове и 19 районах Кировской области  установлен постановлением Совета Министров СССР от 23.09.1988г. № 1114 и постановлением Госкомтруда и Секретариата ВЦСПС от 17.10.1988г. № 546/25-5 в размере 1,15.</t>
        </r>
      </text>
    </comment>
    <comment ref="I46" authorId="0">
      <text>
        <r>
          <rPr>
            <sz val="8"/>
            <color indexed="81"/>
            <rFont val="Tahoma"/>
            <family val="2"/>
            <charset val="204"/>
          </rPr>
          <t>ФЗ от 24.07.2009 N 212-ФЗ
"О страховых взносах в ПФ РФ, ФСС РФ, ФФОМС" и
с учетом уведомления
о размре страховых взносов...</t>
        </r>
      </text>
    </comment>
  </commentList>
</comments>
</file>

<file path=xl/comments11.xml><?xml version="1.0" encoding="utf-8"?>
<comments xmlns="http://schemas.openxmlformats.org/spreadsheetml/2006/main">
  <authors>
    <author>Юдникова СЭ</author>
    <author>Максимова</author>
  </authors>
  <commentList>
    <comment ref="F4" authorId="0">
      <text>
        <r>
          <rPr>
            <b/>
            <sz val="9"/>
            <color indexed="81"/>
            <rFont val="Tahoma"/>
            <charset val="1"/>
          </rPr>
          <t xml:space="preserve">Договор, калькуляция, норматив по НПА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1" authorId="1">
      <text>
        <r>
          <rPr>
            <sz val="9"/>
            <color indexed="81"/>
            <rFont val="Tahoma"/>
            <family val="2"/>
            <charset val="204"/>
          </rPr>
          <t xml:space="preserve">пример:
норма на 
ТРДН-25000/110-0,18
ТМ-160/10 - 0,01
ТМ-630-0,018
ТМ-400-0,028
итого 0,24
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 xml:space="preserve">Договор, калькуляция, норматив по НПА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Юдникова СЭ</author>
    <author>ashikhmin</author>
  </authors>
  <commentList>
    <comment ref="M14" authorId="0">
      <text>
        <r>
          <rPr>
            <sz val="9"/>
            <color indexed="81"/>
            <rFont val="Tahoma"/>
            <family val="2"/>
            <charset val="204"/>
          </rPr>
          <t xml:space="preserve">согласно утвержденного в учетной политике механизма распределения указанных расходов с применением экономически обоснованных показателей (пропорционально ФОТ организации и ФОТ персонала относимого на регулируюмую деятельность)
</t>
        </r>
      </text>
    </comment>
    <comment ref="N20" authorId="1">
      <text>
        <r>
          <rPr>
            <b/>
            <sz val="9"/>
            <color indexed="81"/>
            <rFont val="Tahoma"/>
            <family val="2"/>
            <charset val="204"/>
          </rPr>
          <t>ashikhmin:</t>
        </r>
        <r>
          <rPr>
            <sz val="9"/>
            <color indexed="81"/>
            <rFont val="Tahoma"/>
            <family val="2"/>
            <charset val="204"/>
          </rPr>
          <t xml:space="preserve">
ремонты подрядным способом</t>
        </r>
      </text>
    </comment>
    <comment ref="L25" authorId="1">
      <text>
        <r>
          <rPr>
            <b/>
            <sz val="9"/>
            <color indexed="81"/>
            <rFont val="Tahoma"/>
            <family val="2"/>
            <charset val="204"/>
          </rPr>
          <t>ashikhmin:</t>
        </r>
        <r>
          <rPr>
            <sz val="9"/>
            <color indexed="81"/>
            <rFont val="Tahoma"/>
            <family val="2"/>
            <charset val="204"/>
          </rPr>
          <t xml:space="preserve">
Вся аренда, кроме офиса</t>
        </r>
      </text>
    </comment>
    <comment ref="L26" authorId="1">
      <text>
        <r>
          <rPr>
            <b/>
            <sz val="9"/>
            <color indexed="81"/>
            <rFont val="Tahoma"/>
            <family val="2"/>
            <charset val="204"/>
          </rPr>
          <t>ashikhmin:</t>
        </r>
        <r>
          <rPr>
            <sz val="9"/>
            <color indexed="81"/>
            <rFont val="Tahoma"/>
            <family val="2"/>
            <charset val="204"/>
          </rPr>
          <t xml:space="preserve">
обучение в ростехнадзоре</t>
        </r>
      </text>
    </comment>
  </commentList>
</comments>
</file>

<file path=xl/comments13.xml><?xml version="1.0" encoding="utf-8"?>
<comments xmlns="http://schemas.openxmlformats.org/spreadsheetml/2006/main">
  <authors>
    <author>Юдникова СЭ</author>
  </authors>
  <commentList>
    <comment ref="M14" authorId="0">
      <text>
        <r>
          <rPr>
            <sz val="9"/>
            <color indexed="81"/>
            <rFont val="Tahoma"/>
            <family val="2"/>
            <charset val="204"/>
          </rPr>
          <t xml:space="preserve">согласно утвержденного в учетной политике механизма распределения указанных расходов с применением экономически обоснованных показателей (пропорционально ФОТ организации и ФОТ персонала относимого на регулируюмую деятельность)
</t>
        </r>
      </text>
    </comment>
  </commentList>
</comments>
</file>

<file path=xl/comments14.xml><?xml version="1.0" encoding="utf-8"?>
<comments xmlns="http://schemas.openxmlformats.org/spreadsheetml/2006/main">
  <authors>
    <author>Юдникова СЭ</author>
    <author>ashikhmin</author>
  </authors>
  <commentList>
    <comment ref="M14" authorId="0">
      <text>
        <r>
          <rPr>
            <sz val="8"/>
            <color indexed="81"/>
            <rFont val="Tahoma"/>
            <family val="2"/>
            <charset val="204"/>
          </rPr>
          <t xml:space="preserve">согласно утвержденного в учетной политике механизма распределения указанных расходов с применением экономически обоснованных показателей (пропорционально ФОТ организации и ФОТ персонала относимого на регулируюмую деятельность)
</t>
        </r>
      </text>
    </comment>
    <comment ref="L21" authorId="1">
      <text>
        <r>
          <rPr>
            <b/>
            <sz val="9"/>
            <color indexed="81"/>
            <rFont val="Tahoma"/>
            <family val="2"/>
            <charset val="204"/>
          </rPr>
          <t>ashikhmin:</t>
        </r>
        <r>
          <rPr>
            <sz val="9"/>
            <color indexed="81"/>
            <rFont val="Tahoma"/>
            <family val="2"/>
            <charset val="204"/>
          </rPr>
          <t xml:space="preserve">
аренда офиса</t>
        </r>
      </text>
    </comment>
  </commentList>
</comments>
</file>

<file path=xl/comments15.xml><?xml version="1.0" encoding="utf-8"?>
<comments xmlns="http://schemas.openxmlformats.org/spreadsheetml/2006/main">
  <authors>
    <author>Юдникова СЭ</author>
  </authors>
  <commentList>
    <comment ref="D11" authorId="0">
      <text>
        <r>
          <rPr>
            <sz val="8"/>
            <color indexed="81"/>
            <rFont val="Tahoma"/>
            <family val="2"/>
            <charset val="204"/>
          </rPr>
          <t xml:space="preserve">Фсрг = Фнг + Фвв*n1/12 - Фвыб*n2/12 
где Фнг - стоимость основных фондов на начало года, руб. ; Фвв - стоимость введенных основных фондов, руб. ; Фвыб - стоимость выбывших основных фондов, руб. ; n1 и n2 - количество месяцев функционирования введенных и выбывших основных фондов, соответственно.
данные по оборотно-сальдовой ведомости сч 01 "Основные средства" за каждый год и месяц.
или п.1 + п.2 - п.3
</t>
        </r>
      </text>
    </comment>
    <comment ref="D13" authorId="0">
      <text>
        <r>
          <rPr>
            <sz val="9"/>
            <color indexed="81"/>
            <rFont val="Tahoma"/>
            <family val="2"/>
            <charset val="204"/>
          </rPr>
          <t>п. 4 /п.5</t>
        </r>
      </text>
    </comment>
  </commentList>
</comments>
</file>

<file path=xl/comments16.xml><?xml version="1.0" encoding="utf-8"?>
<comments xmlns="http://schemas.openxmlformats.org/spreadsheetml/2006/main">
  <authors>
    <author>Юдникова СЭ</author>
  </authors>
  <commentList>
    <comment ref="H6" authorId="0">
      <text>
        <r>
          <rPr>
            <sz val="8"/>
            <color indexed="81"/>
            <rFont val="Tahoma"/>
            <family val="2"/>
            <charset val="204"/>
          </rPr>
          <t>Фсрг = Фнг + Фвв*n1/12 - Фвыб*n2/12 
где Фнг - стоимость основных фондов на начало года, руб. ; Фвв - стоимость введенных основных фондов, руб. ; Фвыб - стоимость выбывших основных фондов, руб. ; n1 и n2 - количество месяцев функционирования введенных и выбывших основных фондов, соответственно.
данные по оборотно-сальдовой ведомости сч 01 "Основные средства" за каждый год и месяц.</t>
        </r>
      </text>
    </comment>
  </commentList>
</comments>
</file>

<file path=xl/comments17.xml><?xml version="1.0" encoding="utf-8"?>
<comments xmlns="http://schemas.openxmlformats.org/spreadsheetml/2006/main">
  <authors>
    <author>Кривошеина Т Н</author>
  </authors>
  <commentList>
    <comment ref="D9" authorId="0">
      <text>
        <r>
          <rPr>
            <sz val="9"/>
            <color indexed="81"/>
            <rFont val="Tahoma"/>
            <charset val="1"/>
          </rPr>
          <t xml:space="preserve">на основании утв. ИПР на долгосрочный период
</t>
        </r>
      </text>
    </comment>
  </commentList>
</comments>
</file>

<file path=xl/comments18.xml><?xml version="1.0" encoding="utf-8"?>
<comments xmlns="http://schemas.openxmlformats.org/spreadsheetml/2006/main">
  <authors>
    <author>Юдникова СЭ</author>
  </authors>
  <commentList>
    <comment ref="A2" authorId="0">
      <text>
        <r>
          <rPr>
            <b/>
            <sz val="9"/>
            <color indexed="81"/>
            <rFont val="Tahoma"/>
            <charset val="1"/>
          </rPr>
          <t>применяется при установлении тарифов для ТСО вышедших в первые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204"/>
          </rPr>
          <t>В соответствии с НК РФ</t>
        </r>
      </text>
    </comment>
    <comment ref="B47" authorId="0">
      <text>
        <r>
          <rPr>
            <sz val="8"/>
            <color indexed="81"/>
            <rFont val="Tahoma"/>
            <family val="2"/>
            <charset val="204"/>
          </rPr>
          <t xml:space="preserve">иные налоги и сборы в зависимости от системы налогообложения 
УСН гл 26,2 НК РФ
доходы =(НВВ)*6%*50% или 100%  (в зависимости от с работниками или без)
доходы - расходы =HВВ/0,99*0,01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8" authorId="0">
      <text>
        <r>
          <rPr>
            <sz val="9"/>
            <color indexed="81"/>
            <rFont val="Tahoma"/>
            <family val="2"/>
            <charset val="204"/>
          </rPr>
          <t>п. 2.2 * % отчислений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B5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= п.11* п.21
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204"/>
          </rPr>
          <t>= п.7/п.19/12*1000</t>
        </r>
      </text>
    </comment>
    <comment ref="B6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=п.21*п.11/13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204"/>
          </rPr>
          <t>п.22*п.19*12/п.13/1000+п.23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Юдникова СЭ</author>
    <author>bulychev</author>
  </authors>
  <commentList>
    <comment ref="F1" authorId="0">
      <text>
        <r>
          <rPr>
            <b/>
            <sz val="9"/>
            <color indexed="81"/>
            <rFont val="Tahoma"/>
            <family val="2"/>
            <charset val="204"/>
          </rPr>
          <t>НВВ расчет на 15г - производится по полугодиям: 
1п/г = тариф 2п/г 2014 * Э/Э 1п/г 2015
2 п/г =НВВ расчет 2015 (годовая) - НВВ 1п/г
э/э 2п/г * тариф 2п/г = НВВ 2 п/г + НВВ 1 п/г = НВВ год</t>
        </r>
      </text>
    </comment>
    <comment ref="A2" authorId="0">
      <text>
        <r>
          <rPr>
            <b/>
            <sz val="9"/>
            <color indexed="81"/>
            <rFont val="Tahoma"/>
            <charset val="1"/>
          </rPr>
          <t xml:space="preserve"> Тарифы на услуги по передаче электрической энергии, рассчитываемые с применением Методических указаний, устанавливаются на долгосрочный период регулирования (на срок не менее чем пять лет (при установлении впервые тарифов на услуги по передаче электрической энергии на основе долгосрочных параметров регулирования - на срок не менее чем три года)
- п. 5 Методических указаний, утвержденных  приказом ФСТ РФ от 17.02.2012 N 98-э и в соответствии с Основами ценообразования, утвержденными постановлением Правительства РФ от 29.12.2011 N 1178 (п. 12)
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уровень за отчетный период , при расчете на 2016 год применяется 2014 год</t>
        </r>
      </text>
    </comment>
    <comment ref="E4" authorId="0">
      <text>
        <r>
          <rPr>
            <b/>
            <sz val="9"/>
            <color indexed="81"/>
            <rFont val="Tahoma"/>
            <charset val="1"/>
          </rPr>
          <t>Утверждено предыдущим решением РСТ, при расчете на 2016 год применяется уровень, утвержденный на 2015 году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первый долгосрочный - 3 года, второй - 5 лет</t>
        </r>
      </text>
    </comment>
    <comment ref="F5" authorId="0">
      <text>
        <r>
          <rPr>
            <b/>
            <sz val="9"/>
            <color indexed="81"/>
            <rFont val="Tahoma"/>
            <charset val="1"/>
          </rPr>
          <t>при подаче заявления до 01.05.2015  -   базовый период - 2016 год</t>
        </r>
      </text>
    </comment>
    <comment ref="B7" authorId="1">
      <text>
        <r>
          <rPr>
            <sz val="10"/>
            <color indexed="81"/>
            <rFont val="Tahoma"/>
            <family val="2"/>
            <charset val="204"/>
          </rPr>
          <t xml:space="preserve">Письмо Минэконом развития 05.10.2011. N21790-АК/ДОЗ
</t>
        </r>
      </text>
    </comment>
    <comment ref="B37" authorId="0">
      <text>
        <r>
          <rPr>
            <b/>
            <sz val="9"/>
            <color indexed="81"/>
            <rFont val="Tahoma"/>
            <family val="2"/>
            <charset val="204"/>
          </rPr>
          <t>В соответствии с НК РФ</t>
        </r>
      </text>
    </comment>
    <comment ref="B41" authorId="0">
      <text>
        <r>
          <rPr>
            <sz val="8"/>
            <color indexed="81"/>
            <rFont val="Tahoma"/>
            <family val="2"/>
            <charset val="204"/>
          </rPr>
          <t xml:space="preserve">иные налоги и сборы в зависимости от системы налогообложения 
УСН гл 26,2 НК РФ
доходы =(НВВ)*6%*50% или 100%  (в зависимости от с работниками или без)
доходы - расходы =HВВ/0,99*0,01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2" authorId="0">
      <text>
        <r>
          <rPr>
            <sz val="9"/>
            <color indexed="81"/>
            <rFont val="Tahoma"/>
            <family val="2"/>
            <charset val="204"/>
          </rPr>
          <t>п. 2.2 * % отчислений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B51" authorId="0">
      <text>
        <r>
          <rPr>
            <sz val="9"/>
            <color indexed="81"/>
            <rFont val="Tahoma"/>
            <charset val="1"/>
          </rPr>
          <t xml:space="preserve">п. 12 Основ ценообразования (Постановление правительства РФ от 29.12.2011 N 1178) применяется понижающий коэффициент, корректирующий НВВ  организации, равный 15 процентам
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= п.12* п.21
</t>
        </r>
      </text>
    </comment>
    <comment ref="B87" authorId="0">
      <text>
        <r>
          <rPr>
            <b/>
            <sz val="9"/>
            <color indexed="81"/>
            <rFont val="Tahoma"/>
            <family val="2"/>
            <charset val="204"/>
          </rPr>
          <t>= п.7/п.19/12*1000</t>
        </r>
      </text>
    </comment>
    <comment ref="B8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=п.21*п.11/13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9" authorId="0">
      <text>
        <r>
          <rPr>
            <b/>
            <sz val="9"/>
            <color indexed="81"/>
            <rFont val="Tahoma"/>
            <family val="2"/>
            <charset val="204"/>
          </rPr>
          <t>п.22*п.19*12/п.13/1000+п.23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Юдникова СЭ</author>
  </authors>
  <commentList>
    <comment ref="E6" authorId="0">
      <text>
        <r>
          <rPr>
            <b/>
            <sz val="9"/>
            <color indexed="81"/>
            <rFont val="Tahoma"/>
            <charset val="1"/>
          </rPr>
          <t>при расчете на 2015 год принимаются значения фактического периода - 2013 год</t>
        </r>
      </text>
    </comment>
  </commentList>
</comments>
</file>

<file path=xl/comments3.xml><?xml version="1.0" encoding="utf-8"?>
<comments xmlns="http://schemas.openxmlformats.org/spreadsheetml/2006/main">
  <authors>
    <author>Юдникова СЭ</author>
  </authors>
  <commentList>
    <comment ref="E6" authorId="0">
      <text>
        <r>
          <rPr>
            <b/>
            <sz val="9"/>
            <color indexed="81"/>
            <rFont val="Tahoma"/>
            <charset val="1"/>
          </rPr>
          <t>при расчете на 2015 год принимаются значения фактического периода - 2013 год</t>
        </r>
      </text>
    </comment>
  </commentList>
</comments>
</file>

<file path=xl/comments4.xml><?xml version="1.0" encoding="utf-8"?>
<comments xmlns="http://schemas.openxmlformats.org/spreadsheetml/2006/main">
  <authors>
    <author>Юдникова СЭ</author>
  </authors>
  <commentList>
    <comment ref="D6" authorId="0">
      <text>
        <r>
          <rPr>
            <sz val="8"/>
            <color indexed="81"/>
            <rFont val="Tahoma"/>
            <family val="2"/>
            <charset val="204"/>
          </rPr>
          <t>= мощностькВт по объектам эл. потребления (потребителям)* число часов использования (годовой объем)
Объем подтвержденный (справочно) поставщиком, продавцом эл. энергии</t>
        </r>
      </text>
    </comment>
    <comment ref="I6" authorId="0">
      <text>
        <r>
          <rPr>
            <sz val="8"/>
            <color indexed="81"/>
            <rFont val="Tahoma"/>
            <family val="2"/>
            <charset val="204"/>
          </rPr>
          <t>= (объем полезного отпуска эл.энергии / число часов) *1000</t>
        </r>
      </text>
    </comment>
    <comment ref="N6" authorId="0">
      <text>
        <r>
          <rPr>
            <sz val="8"/>
            <color indexed="81"/>
            <rFont val="Tahoma"/>
            <family val="2"/>
            <charset val="204"/>
          </rPr>
          <t xml:space="preserve">
в соответствии с пунктами 60 и 81 Основ ценообразования в области регулируемых цен (тарифов) в электроэнергетике, утвержденных Постановлением Правительства РФ от 29.12.2011 № 1178 (3500-5000)
общее ср.расчетное  - по балансу ФСТ (население) час=эл. энергия / мощность, так в 2014г = 4927ч.</t>
        </r>
      </text>
    </comment>
    <comment ref="A9" authorId="0">
      <text>
        <r>
          <rPr>
            <b/>
            <sz val="9"/>
            <color indexed="81"/>
            <rFont val="Tahoma"/>
            <charset val="1"/>
          </rPr>
          <t>при расчете на 2015 год принимаются значения фактического периода - 2013 год</t>
        </r>
      </text>
    </comment>
  </commentList>
</comments>
</file>

<file path=xl/comments5.xml><?xml version="1.0" encoding="utf-8"?>
<comments xmlns="http://schemas.openxmlformats.org/spreadsheetml/2006/main">
  <authors>
    <author>Обухов Александр Сергеевич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Значение проставленно для примера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Юдникова СЭ</author>
  </authors>
  <commentList>
    <comment ref="F39" authorId="0">
      <text>
        <r>
          <rPr>
            <sz val="8"/>
            <color indexed="81"/>
            <rFont val="Tahoma"/>
            <family val="2"/>
            <charset val="204"/>
          </rPr>
          <t>количество (сумма) у.ед. активов по Прил 2 П2.1 и П2.2</t>
        </r>
      </text>
    </comment>
    <comment ref="A41" authorId="0">
      <text>
        <r>
          <rPr>
            <sz val="9"/>
            <color indexed="81"/>
            <rFont val="Tahoma"/>
            <family val="2"/>
            <charset val="204"/>
          </rPr>
          <t xml:space="preserve">= 1 + (% планируемых невыходов/100)
</t>
        </r>
      </text>
    </comment>
  </commentList>
</comments>
</file>

<file path=xl/comments7.xml><?xml version="1.0" encoding="utf-8"?>
<comments xmlns="http://schemas.openxmlformats.org/spreadsheetml/2006/main">
  <authors>
    <author>Юдникова СЭ</author>
  </authors>
  <commentList>
    <comment ref="I14" authorId="0">
      <text>
        <r>
          <rPr>
            <sz val="8"/>
            <color indexed="81"/>
            <rFont val="Tahoma"/>
            <family val="2"/>
            <charset val="204"/>
          </rPr>
          <t>определенная в "листе численность ППП" нормативная численность, без выделения цехового персонала</t>
        </r>
      </text>
    </comment>
    <comment ref="I16" authorId="0">
      <text>
        <r>
          <rPr>
            <sz val="8"/>
            <color indexed="81"/>
            <rFont val="Tahoma"/>
            <family val="2"/>
            <charset val="204"/>
          </rPr>
          <t>в соответствии с принятым отраслевым тарифным соглашением</t>
        </r>
      </text>
    </comment>
    <comment ref="I17" authorId="0">
      <text>
        <r>
          <rPr>
            <sz val="8"/>
            <color indexed="81"/>
            <rFont val="Tahoma"/>
            <family val="2"/>
            <charset val="204"/>
          </rPr>
          <t>используется при применении тарифной ставки прошлых периодов (за основу берется ИПЦ)</t>
        </r>
      </text>
    </comment>
    <comment ref="I25" authorId="0">
      <text>
        <r>
          <rPr>
            <sz val="8"/>
            <color indexed="81"/>
            <rFont val="Tahoma"/>
            <family val="2"/>
            <charset val="204"/>
          </rPr>
          <t>при наличии в соответствии с положением об оплатетруда или иным локальным нормативно- правовым актом(НПА)</t>
        </r>
      </text>
    </comment>
    <comment ref="I28" authorId="0">
      <text>
        <r>
          <rPr>
            <sz val="8"/>
            <color indexed="81"/>
            <rFont val="Tahoma"/>
            <family val="2"/>
            <charset val="204"/>
          </rPr>
          <t>процент премирования в соответствии с положением об оплатетруда или иным локальным нормативно- правовым актом(НПА)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0" authorId="0">
      <text>
        <r>
          <rPr>
            <sz val="8"/>
            <color indexed="81"/>
            <rFont val="Tahoma"/>
            <family val="2"/>
            <charset val="204"/>
          </rPr>
          <t>Районный коэффициент к заработной плате в г.Кирове и 19 районах Кировской области  установлен постановлением Совета Министров СССР от 23.09.1988г. № 1114 и постановлением Госкомтруда и Секретариата ВЦСПС от 17.10.1988г. № 546/25-5 в размере 1,15.</t>
        </r>
      </text>
    </comment>
    <comment ref="I45" authorId="0">
      <text>
        <r>
          <rPr>
            <sz val="8"/>
            <color indexed="81"/>
            <rFont val="Tahoma"/>
            <family val="2"/>
            <charset val="204"/>
          </rPr>
          <t>ФЗ от 24.07.2009 N 212-ФЗ
"О страховых взносах в ПФ РФ, ФСС РФ, ФФОМС" и
с учетом уведомления
о размре страховых взносов...</t>
        </r>
      </text>
    </comment>
  </commentList>
</comments>
</file>

<file path=xl/comments8.xml><?xml version="1.0" encoding="utf-8"?>
<comments xmlns="http://schemas.openxmlformats.org/spreadsheetml/2006/main">
  <authors>
    <author>Юдникова СЭ</author>
  </authors>
  <commentList>
    <comment ref="I15" authorId="0">
      <text>
        <r>
          <rPr>
            <sz val="8"/>
            <color indexed="81"/>
            <rFont val="Tahoma"/>
            <family val="2"/>
            <charset val="204"/>
          </rPr>
          <t>при наличии структурного подразделения…, вспомогательного персонала</t>
        </r>
      </text>
    </comment>
    <comment ref="I17" authorId="0">
      <text>
        <r>
          <rPr>
            <sz val="8"/>
            <color indexed="81"/>
            <rFont val="Tahoma"/>
            <family val="2"/>
            <charset val="204"/>
          </rPr>
          <t>в соответствии с принятым отраслевым тарифным соглашением</t>
        </r>
      </text>
    </comment>
    <comment ref="I18" authorId="0">
      <text>
        <r>
          <rPr>
            <sz val="8"/>
            <color indexed="81"/>
            <rFont val="Tahoma"/>
            <family val="2"/>
            <charset val="204"/>
          </rPr>
          <t>используется при применении тарифной ставки прошлых периодов (за основу берется ИПЦ)</t>
        </r>
      </text>
    </comment>
    <comment ref="I26" authorId="0">
      <text>
        <r>
          <rPr>
            <sz val="8"/>
            <color indexed="81"/>
            <rFont val="Tahoma"/>
            <family val="2"/>
            <charset val="204"/>
          </rPr>
          <t>при наличии в соответствии с положением об оплатетруда или иным локальным нормативно- правовым актом(НПА)</t>
        </r>
      </text>
    </comment>
    <comment ref="I29" authorId="0">
      <text>
        <r>
          <rPr>
            <sz val="8"/>
            <color indexed="81"/>
            <rFont val="Tahoma"/>
            <family val="2"/>
            <charset val="204"/>
          </rPr>
          <t>процент премирования в соответствии с положением об оплатетруда или иным локальным нормативно- правовым актом(НПА)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1" authorId="0">
      <text>
        <r>
          <rPr>
            <sz val="8"/>
            <color indexed="81"/>
            <rFont val="Tahoma"/>
            <family val="2"/>
            <charset val="204"/>
          </rPr>
          <t>Районный коэффициент к заработной плате в г.Кирове и 19 районах Кировской области  установлен постановлением Совета Министров СССР от 23.09.1988г. № 1114 и постановлением Госкомтруда и Секретариата ВЦСПС от 17.10.1988г. № 546/25-5 в размере 1,15.</t>
        </r>
      </text>
    </comment>
    <comment ref="I46" authorId="0">
      <text>
        <r>
          <rPr>
            <sz val="8"/>
            <color indexed="81"/>
            <rFont val="Tahoma"/>
            <family val="2"/>
            <charset val="204"/>
          </rPr>
          <t>ФЗ от 24.07.2009 N 212-ФЗ
"О страховых взносах в ПФ РФ, ФСС РФ, ФФОМС" и
с учетом уведомления
о размре страховых взносов...</t>
        </r>
      </text>
    </comment>
  </commentList>
</comments>
</file>

<file path=xl/comments9.xml><?xml version="1.0" encoding="utf-8"?>
<comments xmlns="http://schemas.openxmlformats.org/spreadsheetml/2006/main">
  <authors>
    <author>Юдникова СЭ</author>
  </authors>
  <commentList>
    <comment ref="D5" authorId="0">
      <text>
        <r>
          <rPr>
            <sz val="8"/>
            <color indexed="81"/>
            <rFont val="Tahoma"/>
            <family val="2"/>
            <charset val="204"/>
          </rPr>
          <t>в соответствии с пунктом приказа № 68</t>
        </r>
      </text>
    </comment>
    <comment ref="F7" authorId="0">
      <text>
        <r>
          <rPr>
            <sz val="8"/>
            <color indexed="81"/>
            <rFont val="Tahoma"/>
            <family val="2"/>
            <charset val="204"/>
          </rPr>
          <t>опреденный на основании расчета нормативной численности работников, в данном расчете примененна нормативная ССЧ до 100 чел. (к п. 1 - 8)</t>
        </r>
      </text>
    </comment>
    <comment ref="F16" authorId="0">
      <text>
        <r>
          <rPr>
            <sz val="8"/>
            <color indexed="81"/>
            <rFont val="Tahoma"/>
            <family val="2"/>
            <charset val="204"/>
          </rPr>
          <t>количество (сумма) у.ед. активов по Прил 2 П2.1 и П2.2</t>
        </r>
      </text>
    </comment>
    <comment ref="F17" authorId="0">
      <text>
        <r>
          <rPr>
            <sz val="8"/>
            <color indexed="81"/>
            <rFont val="Tahoma"/>
            <family val="2"/>
            <charset val="204"/>
          </rPr>
          <t>данный показатель не учитывается при определении численности в сетевых организациях</t>
        </r>
      </text>
    </comment>
  </commentList>
</comments>
</file>

<file path=xl/sharedStrings.xml><?xml version="1.0" encoding="utf-8"?>
<sst xmlns="http://schemas.openxmlformats.org/spreadsheetml/2006/main" count="1791" uniqueCount="821">
  <si>
    <t>Таблица П1.3</t>
  </si>
  <si>
    <t>Расчет технологического расхода электрической энергии (потерь)</t>
  </si>
  <si>
    <t>в электрических сетях ЭСО (региональных электрических сетях)</t>
  </si>
  <si>
    <t>№
п/п</t>
  </si>
  <si>
    <t>Показатели</t>
  </si>
  <si>
    <t>Ед. изм.</t>
  </si>
  <si>
    <t>Базовый период</t>
  </si>
  <si>
    <t>Период регулирования</t>
  </si>
  <si>
    <t>ВН</t>
  </si>
  <si>
    <t>СН1</t>
  </si>
  <si>
    <t>СН11</t>
  </si>
  <si>
    <t>НН</t>
  </si>
  <si>
    <t>всего</t>
  </si>
  <si>
    <t>Технические потери</t>
  </si>
  <si>
    <t>млн. кВт·ч</t>
  </si>
  <si>
    <t>1.1</t>
  </si>
  <si>
    <t>Норматив потерь</t>
  </si>
  <si>
    <t>КВт/МВА</t>
  </si>
  <si>
    <t>Суммарная мощность трансформаторов</t>
  </si>
  <si>
    <t>МВА</t>
  </si>
  <si>
    <t>Продолжительность периода</t>
  </si>
  <si>
    <t>час</t>
  </si>
  <si>
    <t>1.2</t>
  </si>
  <si>
    <t>Потери в БСК и СТК    (а * б)</t>
  </si>
  <si>
    <t>а</t>
  </si>
  <si>
    <t>тыс. кВт·ч в год/шт.</t>
  </si>
  <si>
    <t>б</t>
  </si>
  <si>
    <t>Количество</t>
  </si>
  <si>
    <t>шт.</t>
  </si>
  <si>
    <t>1.3</t>
  </si>
  <si>
    <t>Потери
в шунтирующих реакторах (а * б)</t>
  </si>
  <si>
    <t>1.4</t>
  </si>
  <si>
    <t>Потери в синхронных компенсаторах (СК)</t>
  </si>
  <si>
    <t>1.4.1</t>
  </si>
  <si>
    <t>Потери в СК номиналь-ной мощностью</t>
  </si>
  <si>
    <t xml:space="preserve"> Мвар (а * б)</t>
  </si>
  <si>
    <t>1.4.2</t>
  </si>
  <si>
    <t>1.4.3</t>
  </si>
  <si>
    <t>…</t>
  </si>
  <si>
    <t>1.5</t>
  </si>
  <si>
    <t>Потери электрической энергии на корону, всего</t>
  </si>
  <si>
    <t>1.5.1</t>
  </si>
  <si>
    <t>Потери на корону
в линиях напряжением кВ (а * б)</t>
  </si>
  <si>
    <t>млн. кВт·ч в год/км</t>
  </si>
  <si>
    <t>Протяженность линий</t>
  </si>
  <si>
    <t>км</t>
  </si>
  <si>
    <t>1.5.2</t>
  </si>
  <si>
    <t>1.6</t>
  </si>
  <si>
    <t>Нагрузочные потери, всего</t>
  </si>
  <si>
    <t>1.6.1</t>
  </si>
  <si>
    <t>Нагрузочные потери
в сетях ВН, СН1, СН11 (а * б * в)</t>
  </si>
  <si>
    <t>%</t>
  </si>
  <si>
    <t>Поправочный коэффициент</t>
  </si>
  <si>
    <t>в</t>
  </si>
  <si>
    <t>Отпуск в сеть ВН, СН1 и СН11</t>
  </si>
  <si>
    <t>1.6.2</t>
  </si>
  <si>
    <t>Нагрузочные потери
в сети НН (а * б)</t>
  </si>
  <si>
    <t>тыс. кВт·ч в год/км</t>
  </si>
  <si>
    <t>Протяженность линий 0,4 кВ</t>
  </si>
  <si>
    <t>2</t>
  </si>
  <si>
    <t>Расход электроэнергии на собственные нужды подстанций</t>
  </si>
  <si>
    <t>3</t>
  </si>
  <si>
    <t>Потери, обусловленные погрешностями приборов учета</t>
  </si>
  <si>
    <t>4</t>
  </si>
  <si>
    <t>Итого</t>
  </si>
  <si>
    <t>Таблица П1.4</t>
  </si>
  <si>
    <t>Баланс электрической энергии по сетям ВН, СН1, СН11 и НН</t>
  </si>
  <si>
    <t>(млн. кВт·ч)</t>
  </si>
  <si>
    <t>Поступление эл. энергии в сеть, всего</t>
  </si>
  <si>
    <t>из смежной сети, всего</t>
  </si>
  <si>
    <t>в том числе из сети</t>
  </si>
  <si>
    <t>от электростанций ПЭ (ЭСО)</t>
  </si>
  <si>
    <t>от других поставщиков (в т.ч.
с оптового рынка)</t>
  </si>
  <si>
    <t>поступление эл. энергии
от других организаций</t>
  </si>
  <si>
    <t>Потери электроэнергии в сети</t>
  </si>
  <si>
    <t>то же в % (п. 1.1 / п. 1.3)</t>
  </si>
  <si>
    <t>Расход электроэнергии
на производственные и хозяйственные нужды</t>
  </si>
  <si>
    <t>Полезный отпуск из сети</t>
  </si>
  <si>
    <t>в т.ч.</t>
  </si>
  <si>
    <t>из них:</t>
  </si>
  <si>
    <t>4.2</t>
  </si>
  <si>
    <t>4.3</t>
  </si>
  <si>
    <t>Таблица П1.5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</si>
  <si>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</si>
  <si>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</si>
  <si>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</si>
  <si>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</si>
  <si>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</si>
  <si>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
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</si>
  <si>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</si>
  <si>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</si>
  <si>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</si>
  <si>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</si>
  <si>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</si>
  <si>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Заявленная (расчетная) мощность потребителей оптового рынка</t>
  </si>
  <si>
    <t>В другие организации</t>
  </si>
  <si>
    <t>Таблица П1.6</t>
  </si>
  <si>
    <t>Структура полезного отпуска электрической энергии (мощности)</t>
  </si>
  <si>
    <t>по группам потребителей ЭСО</t>
  </si>
  <si>
    <t>Группа потребителей</t>
  </si>
  <si>
    <t>Объем полезного отпуска электроэнергии, млн. кВт·ч</t>
  </si>
  <si>
    <t>Заявленная (расчетная) мощность, тыс. кВт</t>
  </si>
  <si>
    <t>Число часов исп-я, час</t>
  </si>
  <si>
    <t>Доля потребления на разных диапазонах напряжений, %</t>
  </si>
  <si>
    <t>Население</t>
  </si>
  <si>
    <t>Прочие потребители</t>
  </si>
  <si>
    <t>Таблица П1.15</t>
  </si>
  <si>
    <t>Смета расходов *</t>
  </si>
  <si>
    <t>(тыс. руб.)</t>
  </si>
  <si>
    <t>Наименование показателя</t>
  </si>
  <si>
    <t>Сырье, основные материалы</t>
  </si>
  <si>
    <t>Вспомогательные материалы</t>
  </si>
  <si>
    <t>из них на ремонт</t>
  </si>
  <si>
    <t>Работы и услуги производственного характера</t>
  </si>
  <si>
    <t>Топливо на технологические цели</t>
  </si>
  <si>
    <t>Энергия</t>
  </si>
  <si>
    <t>5.1</t>
  </si>
  <si>
    <t>Энергия на технологические цели (покупная энергия (таблица П1.12))</t>
  </si>
  <si>
    <t>5.2</t>
  </si>
  <si>
    <t>Энергия на хозяйственные нужды</t>
  </si>
  <si>
    <t>6</t>
  </si>
  <si>
    <t>Затраты на оплату труда</t>
  </si>
  <si>
    <t>7</t>
  </si>
  <si>
    <t>Отчисления на социальные нужды</t>
  </si>
  <si>
    <t>8</t>
  </si>
  <si>
    <t>Амортизация основных средств</t>
  </si>
  <si>
    <t>9</t>
  </si>
  <si>
    <t>Прочие затраты всего, в том числе:</t>
  </si>
  <si>
    <t>9.1</t>
  </si>
  <si>
    <t>Целевые средства на НИОКР</t>
  </si>
  <si>
    <t>9.2</t>
  </si>
  <si>
    <t>Средства на страхование</t>
  </si>
  <si>
    <t>9.3</t>
  </si>
  <si>
    <t>Плата за предельно допустимые выбросы (сбросы)</t>
  </si>
  <si>
    <t>9.4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</si>
  <si>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
по единой национальной (общероссийской) электрической сети</t>
  </si>
  <si>
    <t>9.5</t>
  </si>
  <si>
    <t>Отчисления в ремонтный фонд (в случае его формирования)</t>
  </si>
  <si>
    <t>9.6</t>
  </si>
  <si>
    <t>Водный налог (ГЭС)</t>
  </si>
  <si>
    <t>9.7</t>
  </si>
  <si>
    <t>Непроизводственные расходы (налоги и другие обязательные платежи и сборы)</t>
  </si>
  <si>
    <t>9.7.1</t>
  </si>
  <si>
    <t>Налог на землю</t>
  </si>
  <si>
    <t>9.7.2</t>
  </si>
  <si>
    <t>Налог на пользователей автодорог</t>
  </si>
  <si>
    <t>9.8</t>
  </si>
  <si>
    <t>Другие затраты, относимые на себестоимость продукции, всего</t>
  </si>
  <si>
    <t>9.8.1</t>
  </si>
  <si>
    <t>Арендная плата</t>
  </si>
  <si>
    <t>10</t>
  </si>
  <si>
    <t>Итого расходов</t>
  </si>
  <si>
    <t>11</t>
  </si>
  <si>
    <t>Недополученный по независящим причинам доход</t>
  </si>
  <si>
    <t>12</t>
  </si>
  <si>
    <t>Избыток средств, полученный в предыдущем периоде регулирования</t>
  </si>
  <si>
    <t>13</t>
  </si>
  <si>
    <t>Расчетные расходы по производству продукции (услуг)</t>
  </si>
  <si>
    <t>в том числе:</t>
  </si>
  <si>
    <t>13.1</t>
  </si>
  <si>
    <t>- электрическая энергия</t>
  </si>
  <si>
    <t>13.1.1</t>
  </si>
  <si>
    <t>производство электроэнергии</t>
  </si>
  <si>
    <t>13.1.2</t>
  </si>
  <si>
    <t>покупная электроэнергия</t>
  </si>
  <si>
    <t>13.1.3</t>
  </si>
  <si>
    <t>передача электроэнергии</t>
  </si>
  <si>
    <t>13.2</t>
  </si>
  <si>
    <t>- тепловая энергия</t>
  </si>
  <si>
    <t>13.2.1</t>
  </si>
  <si>
    <t>производство теплоэнергии</t>
  </si>
  <si>
    <t>13.2.2</t>
  </si>
  <si>
    <t>покупная теплоэнергия</t>
  </si>
  <si>
    <t>13.2.3</t>
  </si>
  <si>
    <t>передача теплоэнергии</t>
  </si>
  <si>
    <t>13.3</t>
  </si>
  <si>
    <t>- прочая продукция</t>
  </si>
  <si>
    <r>
      <t>______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Заполняется в целом и отдельно по производству электрической энергии, производству тепловой энергии, передаче электрической энергии, передаче тепловой энергии.</t>
    </r>
  </si>
  <si>
    <t>Расчет расходов на оплату труда (основные рабочие) по</t>
  </si>
  <si>
    <t>№</t>
  </si>
  <si>
    <t>Ед.изм.</t>
  </si>
  <si>
    <t>Факт завершенного периода</t>
  </si>
  <si>
    <t>1.</t>
  </si>
  <si>
    <t>Численность основные рабочие</t>
  </si>
  <si>
    <t>чел.</t>
  </si>
  <si>
    <t>2.</t>
  </si>
  <si>
    <t>Средняя оплата труда.</t>
  </si>
  <si>
    <t>2.1.</t>
  </si>
  <si>
    <t>Тарифная ставка рабочего 1 разряда</t>
  </si>
  <si>
    <t>руб.</t>
  </si>
  <si>
    <t>Дефлятор по заработной плате</t>
  </si>
  <si>
    <t>Тарифная ставка рабочего 1 разряда с учетом дефлятора</t>
  </si>
  <si>
    <t>2.2.</t>
  </si>
  <si>
    <t>Коэффициент особенности работ</t>
  </si>
  <si>
    <t>2.3.</t>
  </si>
  <si>
    <t>Тарифная ставка рабочего 1 разряда с учетом коэффициента</t>
  </si>
  <si>
    <t>2.4.</t>
  </si>
  <si>
    <t>Средний разряд  оплаты труда</t>
  </si>
  <si>
    <t>2.5.</t>
  </si>
  <si>
    <t>Тарифный коэффициент соответствующего разряда по оплате труда</t>
  </si>
  <si>
    <t>2.6.</t>
  </si>
  <si>
    <t>Среднемесячная тарифная ставка ОП</t>
  </si>
  <si>
    <t>2.7.</t>
  </si>
  <si>
    <t>Выплаты, связанные с режимом работы с условиями труда 1 работника</t>
  </si>
  <si>
    <t>2.7.1.</t>
  </si>
  <si>
    <t>процент выплаты</t>
  </si>
  <si>
    <t>2.7.2.</t>
  </si>
  <si>
    <t>сумма выплат</t>
  </si>
  <si>
    <t>2.8.</t>
  </si>
  <si>
    <t>Текущее премирование</t>
  </si>
  <si>
    <t>2.8.1.</t>
  </si>
  <si>
    <t>2.8.2.</t>
  </si>
  <si>
    <t>2.9.</t>
  </si>
  <si>
    <t>Вознаграждение за выслугу лет</t>
  </si>
  <si>
    <t>2.9.1.</t>
  </si>
  <si>
    <t>2.9.2.</t>
  </si>
  <si>
    <t>2.10.</t>
  </si>
  <si>
    <t>Выплаты по итогам года</t>
  </si>
  <si>
    <t>2.10.1.</t>
  </si>
  <si>
    <t>2.10.2.</t>
  </si>
  <si>
    <t>2.11.</t>
  </si>
  <si>
    <t>Прочие выплаты в соответствии с коллект.договором</t>
  </si>
  <si>
    <t>2.11.1.</t>
  </si>
  <si>
    <t>2.11.2.</t>
  </si>
  <si>
    <t>2.12.</t>
  </si>
  <si>
    <t>Выплаты по районному коэффициенту  и северной надбавке</t>
  </si>
  <si>
    <t>2.12.1.</t>
  </si>
  <si>
    <t>2.12.2.</t>
  </si>
  <si>
    <t>2.13.</t>
  </si>
  <si>
    <t>Итого среднемесячная оплата труда на 1 работника</t>
  </si>
  <si>
    <t>Количество месяцев, принятых для расчета фонда оплаты труда</t>
  </si>
  <si>
    <t>мес.</t>
  </si>
  <si>
    <t>Расчет средств на оплату труда ОП (включенного в себестоимость)</t>
  </si>
  <si>
    <t>тыс. руб.</t>
  </si>
  <si>
    <t>Расчет расходов на оплату труда цеховых работников по</t>
  </si>
  <si>
    <t>Численность АУП</t>
  </si>
  <si>
    <t xml:space="preserve">Расчет расходов на оплату труда по статье общехозяйственные расходы по </t>
  </si>
  <si>
    <t>Численность ИТР</t>
  </si>
  <si>
    <t>Расчет цеховые расходов по</t>
  </si>
  <si>
    <t>Наименование статей расходов</t>
  </si>
  <si>
    <t>Затраты (тыс. руб.)</t>
  </si>
  <si>
    <t>Доля, относимая на передачу эл.энергии</t>
  </si>
  <si>
    <t>Сумма относимая на передачу эл. энергии, тыс.руб.</t>
  </si>
  <si>
    <t xml:space="preserve">Зарплата </t>
  </si>
  <si>
    <t>3.</t>
  </si>
  <si>
    <t>Амортизация зданий, сооружений, инвентаря</t>
  </si>
  <si>
    <t>4.</t>
  </si>
  <si>
    <t>Прочие расходы, всего:</t>
  </si>
  <si>
    <t xml:space="preserve">в т.ч.расходы на содержание зданий, </t>
  </si>
  <si>
    <t>х</t>
  </si>
  <si>
    <t>Расчет общехозяйственных расходов по</t>
  </si>
  <si>
    <t xml:space="preserve">Факт завершенного периода период </t>
  </si>
  <si>
    <t>Затраты (тыс.  руб.)</t>
  </si>
  <si>
    <t>Сумма относимая на передачу эл.энергии, тыс.руб.</t>
  </si>
  <si>
    <t>Таблица П1.17</t>
  </si>
  <si>
    <t>Расчет амортизационных отчислений на восстановление</t>
  </si>
  <si>
    <t>основных производственных фондов *</t>
  </si>
  <si>
    <t>Базовый
период</t>
  </si>
  <si>
    <t>1</t>
  </si>
  <si>
    <t>Балансовая стоимость основных производственных фондов на начало периода регулирования</t>
  </si>
  <si>
    <t>Ввод основных производственных фондов</t>
  </si>
  <si>
    <t>Выбытие основных производственных фондов</t>
  </si>
  <si>
    <t>Средняя за отчетный период стоимость основных производственных фондов</t>
  </si>
  <si>
    <t>5</t>
  </si>
  <si>
    <t>Средняя норма амортизации</t>
  </si>
  <si>
    <t>Сумма амортизационных отчислений</t>
  </si>
  <si>
    <r>
      <t>______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в целом и отдельно по производству электрической энергии, производству тепловой энергии, передаче электрической энергии, передаче тепловой энергии.</t>
    </r>
  </si>
  <si>
    <r>
      <t>_____</t>
    </r>
    <r>
      <rPr>
        <sz val="11"/>
        <rFont val="Times New Roman"/>
        <family val="1"/>
        <charset val="204"/>
      </rPr>
      <t>Примечание.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При заполнении таблицы по передаче электрической энергии справочно указывается первоначальная стоимость основных фондов по уровням напряжения (ВН, СН1, СН11, НН).</t>
    </r>
  </si>
  <si>
    <t>Таблица П1.17.1</t>
  </si>
  <si>
    <t>Расчет среднегодовой стоимости основных производственных фондов</t>
  </si>
  <si>
    <t>по линиям электропередач и подстанциям</t>
  </si>
  <si>
    <t>Стоимость
на начало регулируемого периода</t>
  </si>
  <si>
    <t>Стоимость
на конец регулируемого периода</t>
  </si>
  <si>
    <t>Среднегодовая стоимость</t>
  </si>
  <si>
    <t>Амортизация</t>
  </si>
  <si>
    <t>1. Линии электропередач</t>
  </si>
  <si>
    <t>ВЛЭП</t>
  </si>
  <si>
    <t>КЛЭП</t>
  </si>
  <si>
    <t>2. Подстанции</t>
  </si>
  <si>
    <t>Всего (стр. 1 + стр. 2)</t>
  </si>
  <si>
    <t>Наименование</t>
  </si>
  <si>
    <t>2.5</t>
  </si>
  <si>
    <t>Всего</t>
  </si>
  <si>
    <t>Расчет балансовой прибыли, принимаемой при установлении тарифов</t>
  </si>
  <si>
    <t>на передачу электрической энергии</t>
  </si>
  <si>
    <t>Прибыль на развитие производства</t>
  </si>
  <si>
    <t>- капитальные вложения</t>
  </si>
  <si>
    <t>Прибыль на социальное развитие</t>
  </si>
  <si>
    <t>Прибыль на поощрение</t>
  </si>
  <si>
    <t>Дивиденды по акциям</t>
  </si>
  <si>
    <t>Прибыль на прочие цели</t>
  </si>
  <si>
    <t>- % за пользование кредитом</t>
  </si>
  <si>
    <t>- услуги банка</t>
  </si>
  <si>
    <t>- другие (с расшифровкой)</t>
  </si>
  <si>
    <t>Прибыль, облагаемая налогом</t>
  </si>
  <si>
    <t>Налоги, сборы, платежи - всего</t>
  </si>
  <si>
    <t>- на прибыль (доход)</t>
  </si>
  <si>
    <t>- на имущество</t>
  </si>
  <si>
    <t>- плата за выбросы загрязняющих веществ</t>
  </si>
  <si>
    <t>- другие налоги и обязательные сборы и платежи (с расшифровкой)</t>
  </si>
  <si>
    <t>Прибыль от товарной продукции</t>
  </si>
  <si>
    <t>МВт</t>
  </si>
  <si>
    <t>4.2.1</t>
  </si>
  <si>
    <t>4.2.2</t>
  </si>
  <si>
    <t>Потери электроэнергии</t>
  </si>
  <si>
    <t>12.1</t>
  </si>
  <si>
    <t>12.2</t>
  </si>
  <si>
    <t>14.1</t>
  </si>
  <si>
    <t>14.2</t>
  </si>
  <si>
    <t>19.1</t>
  </si>
  <si>
    <t>19.2</t>
  </si>
  <si>
    <t>Приложение 2</t>
  </si>
  <si>
    <t>Таблица П2.1</t>
  </si>
  <si>
    <t>Система условных единиц для распределения общей суммы</t>
  </si>
  <si>
    <t>тарифной выручки по классам напряжения</t>
  </si>
  <si>
    <t>Объем воздушных линий электропередач (ВЛЭП) и кабельных линий</t>
  </si>
  <si>
    <t>электропередач (КЛЭП) в условных единицах в зависимости от протяженности,</t>
  </si>
  <si>
    <t>напряжения, конструктивного использования и материала опор</t>
  </si>
  <si>
    <t>Напряже-ние, кВ</t>
  </si>
  <si>
    <t>Количество цепей
на опоре</t>
  </si>
  <si>
    <t>Материал опор</t>
  </si>
  <si>
    <t>Количество условных единиц (у)
на 100 км трассы ЛЭП</t>
  </si>
  <si>
    <t>Протя-женность</t>
  </si>
  <si>
    <t>Объем условных единиц</t>
  </si>
  <si>
    <t>у/100 км</t>
  </si>
  <si>
    <t>У</t>
  </si>
  <si>
    <t>-</t>
  </si>
  <si>
    <t>металл</t>
  </si>
  <si>
    <t>400 - 500</t>
  </si>
  <si>
    <t>ж/бетон</t>
  </si>
  <si>
    <t>дерево</t>
  </si>
  <si>
    <t>110 - 150</t>
  </si>
  <si>
    <t>ВН, всего</t>
  </si>
  <si>
    <t>1 - 20</t>
  </si>
  <si>
    <t>дерево на ж/б пасынках</t>
  </si>
  <si>
    <t>ж/бетон,
металл</t>
  </si>
  <si>
    <t>20 - 35</t>
  </si>
  <si>
    <t>3 - 10</t>
  </si>
  <si>
    <t>СН, всего</t>
  </si>
  <si>
    <t>0,4 кВ</t>
  </si>
  <si>
    <t>до 1 кВ</t>
  </si>
  <si>
    <t>НН, всего</t>
  </si>
  <si>
    <t>ВСЕГО</t>
  </si>
  <si>
    <r>
      <t>_____</t>
    </r>
    <r>
      <rPr>
        <sz val="11"/>
        <rFont val="Times New Roman"/>
        <family val="1"/>
        <charset val="204"/>
      </rPr>
      <t>Примечание:</t>
    </r>
  </si>
  <si>
    <r>
      <t>_____</t>
    </r>
    <r>
      <rPr>
        <sz val="11"/>
        <rFont val="Times New Roman"/>
        <family val="1"/>
        <charset val="204"/>
      </rPr>
      <t>При расчете условных единиц протяженность ВЛЭП - 0,4 кВ от линии до ввода в здании не учитывается.</t>
    </r>
  </si>
  <si>
    <r>
      <t>_____</t>
    </r>
    <r>
      <rPr>
        <sz val="11"/>
        <rFont val="Times New Roman"/>
        <family val="1"/>
        <charset val="204"/>
      </rPr>
      <t>Условные единицы по ВЛЭП - 0,4 кВ учитывают трудозатраты на обслуживание и ремонт:</t>
    </r>
  </si>
  <si>
    <r>
      <t>_____</t>
    </r>
    <r>
      <rPr>
        <sz val="11"/>
        <rFont val="Times New Roman"/>
        <family val="1"/>
        <charset val="204"/>
      </rPr>
      <t>а) воздушных линий в здании;</t>
    </r>
  </si>
  <si>
    <r>
      <t>_____</t>
    </r>
    <r>
      <rPr>
        <sz val="11"/>
        <rFont val="Times New Roman"/>
        <family val="1"/>
        <charset val="204"/>
      </rPr>
      <t>б) линий с совместной подвеской проводов.</t>
    </r>
  </si>
  <si>
    <r>
      <t>_____</t>
    </r>
    <r>
      <rPr>
        <sz val="11"/>
        <rFont val="Times New Roman"/>
        <family val="1"/>
        <charset val="204"/>
      </rPr>
      <t>Условные единицы по ВЛЭП 0,4 - 20 кВ учитывают трудозатраты оперативного персонала распределительных сетей 0,4 - 20 кВ.</t>
    </r>
  </si>
  <si>
    <r>
      <t>_____</t>
    </r>
    <r>
      <rPr>
        <sz val="11"/>
        <rFont val="Times New Roman"/>
        <family val="1"/>
        <charset val="204"/>
      </rPr>
      <t>Кабельные вводы учтены в условных единицах КЛЭП напряжением до 1 кВ.</t>
    </r>
  </si>
  <si>
    <t>Таблица П2.2</t>
  </si>
  <si>
    <t>Объем подстанций 35 - 1150 кВ, трансформаторных подстанций (ТП),</t>
  </si>
  <si>
    <t>комплексных трансформаторных подстанций (КТП)</t>
  </si>
  <si>
    <t>и распределительных пунктов (РП) 0,4 - 20 кВ в условных единицах</t>
  </si>
  <si>
    <t>Единица измерения</t>
  </si>
  <si>
    <t>Напря-жение, кВ</t>
  </si>
  <si>
    <t>Количество условных единиц (у)
на единицу измерения</t>
  </si>
  <si>
    <t>Количество единиц измерения</t>
  </si>
  <si>
    <t>у/ед. изм.</t>
  </si>
  <si>
    <t>ед. изм.</t>
  </si>
  <si>
    <t>7 = 5 * 6</t>
  </si>
  <si>
    <t>Подстанция</t>
  </si>
  <si>
    <t>П/ст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</si>
  <si>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</si>
  <si>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</si>
  <si>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>Воздушный выключатель</t>
  </si>
  <si>
    <t>3 фазы</t>
  </si>
  <si>
    <t>Масляный выключатель</t>
  </si>
  <si>
    <t>-"-</t>
  </si>
  <si>
    <t>Отделитель
с короткозамыкателем</t>
  </si>
  <si>
    <t>35</t>
  </si>
  <si>
    <t>Выключатель нагрузки</t>
  </si>
  <si>
    <t>Синхронный компенсатор мощн.
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</si>
  <si>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</si>
  <si>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</si>
  <si>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</si>
  <si>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</si>
  <si>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</si>
  <si>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Однотрансформаторная ТП, КТП</t>
  </si>
  <si>
    <t>ТП, КТП</t>
  </si>
  <si>
    <t>Двухтрансформаторная ТП, КТП</t>
  </si>
  <si>
    <t>Однотрансформаторная подстанция 34/0,4 кВ</t>
  </si>
  <si>
    <r>
      <t>_____</t>
    </r>
    <r>
      <rPr>
        <sz val="11"/>
        <rFont val="Times New Roman"/>
        <family val="1"/>
        <charset val="204"/>
      </rPr>
      <t>В п. 1 учтены трудозатраты оперативного персонала подстанций напряжением 35 - 1150 кВ.</t>
    </r>
  </si>
  <si>
    <r>
      <t>_____</t>
    </r>
    <r>
      <rPr>
        <sz val="11"/>
        <rFont val="Times New Roman"/>
        <family val="1"/>
        <charset val="204"/>
      </rPr>
      <t>Условные единицы по пп. 2 - 9 учитывают трудозатраты по обслуживанию и ремонту оборудования, не включенного в номенклатуру условных единиц (трансформаторы напряжения, аккумуляторные батареи, сборные шины и т.д.), резервного оборудования.</t>
    </r>
  </si>
  <si>
    <r>
      <t>_____</t>
    </r>
    <r>
      <rPr>
        <sz val="11"/>
        <rFont val="Times New Roman"/>
        <family val="1"/>
        <charset val="204"/>
      </rPr>
      <t>Условные единицы по п. 2 "Силовые трансформаторы 1 - 20 кВ" определяются только для трансформаторов, используемых для собственных нужд подстанций 35 - 1150 кВ.</t>
    </r>
  </si>
  <si>
    <r>
      <t>_____</t>
    </r>
    <r>
      <rPr>
        <sz val="11"/>
        <rFont val="Times New Roman"/>
        <family val="1"/>
        <charset val="204"/>
      </rPr>
      <t>По пп. 3 - 6 учтены дополнительные трудозатраты на обслуживание и ремонт устройств релейной защиты и автоматики, а для воздушных выключателей (п. 3) - дополнительно трудозатраты по обслуживанию и ремонту компрессорных установок.</t>
    </r>
  </si>
  <si>
    <r>
      <t>_____</t>
    </r>
    <r>
      <rPr>
        <sz val="11"/>
        <rFont val="Times New Roman"/>
        <family val="1"/>
        <charset val="204"/>
      </rPr>
      <t>Значения условных единиц пп. 4 и 6 "Масляные выключатели 1 - 20 кВ" и "Выключатели нагрузки    1 - 20 кВ" относятся к коммутационным аппаратам, установленным в распределительных устройствах 1 - 20 кВ подстанций 35 - 1150 кВ, ТП, КТП и РП 1 - 20 кВ, а также к секционирующим коммутационным аппаратам на линиях 1 - 20 кВ.</t>
    </r>
  </si>
  <si>
    <r>
      <t>_____</t>
    </r>
    <r>
      <rPr>
        <sz val="11"/>
        <rFont val="Times New Roman"/>
        <family val="1"/>
        <charset val="204"/>
      </rPr>
      <t>Объем РП 1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-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20 кВ в условных единицах определяется по количеству установленных масляных выключателей (п. 4) и выключателей нагрузки (п. 6). При установке в РП трансформаторов 1 - 20/0,4 кВ дополнительные объемы обслуживания определяются по п. 11 или 12.</t>
    </r>
  </si>
  <si>
    <r>
      <t>_____</t>
    </r>
    <r>
      <rPr>
        <sz val="11"/>
        <rFont val="Times New Roman"/>
        <family val="1"/>
        <charset val="204"/>
      </rPr>
      <t>По пп. 10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-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12 дополнительно учтены трудозатраты оперативного персонала распределительных сетей 0,4 - 20 кВ.</t>
    </r>
  </si>
  <si>
    <r>
      <t>_____</t>
    </r>
    <r>
      <rPr>
        <sz val="11"/>
        <rFont val="Times New Roman"/>
        <family val="1"/>
        <charset val="204"/>
      </rPr>
      <t>По пп. 1, 2 условные единицы относятся на уровень напряжения, соответствующий первичному напряжению.</t>
    </r>
  </si>
  <si>
    <r>
      <t>_____</t>
    </r>
    <r>
      <rPr>
        <sz val="11"/>
        <rFont val="Times New Roman"/>
        <family val="1"/>
        <charset val="204"/>
      </rPr>
      <t>Условные единицы электрооборудования понизительных подстанций относятся на уровень высшего напряжения подстанций.</t>
    </r>
  </si>
  <si>
    <t>Натуральные показатели</t>
  </si>
  <si>
    <t>Отпуск электроэнергии в сеть</t>
  </si>
  <si>
    <t>млн. кВт.ч</t>
  </si>
  <si>
    <t>Полезный отпуск электроэнергии</t>
  </si>
  <si>
    <t>Отпуск мощности в сеть</t>
  </si>
  <si>
    <t xml:space="preserve">Потери мощности  </t>
  </si>
  <si>
    <t xml:space="preserve">Полезный  отпуск мощности </t>
  </si>
  <si>
    <t>в том числе транзит мощности</t>
  </si>
  <si>
    <t>Количество условных единиц</t>
  </si>
  <si>
    <t>тыс.руб.</t>
  </si>
  <si>
    <t>2.3.1.</t>
  </si>
  <si>
    <t>Тариф покупки электроэнергии</t>
  </si>
  <si>
    <t>руб/МВтч</t>
  </si>
  <si>
    <t>Ставка  на содержание электрических сетей</t>
  </si>
  <si>
    <t>Ставка   на   оплату   технологического  расхода  (потерь) электрической  энергии  на  ее  передачу</t>
  </si>
  <si>
    <t>руб./МВт.ч</t>
  </si>
  <si>
    <t>Одноставочный тариф</t>
  </si>
  <si>
    <t>№ п/п</t>
  </si>
  <si>
    <t>Итого:</t>
  </si>
  <si>
    <t>№ п.п.</t>
  </si>
  <si>
    <t>Расчет коэффициента индексации</t>
  </si>
  <si>
    <t>1.1.</t>
  </si>
  <si>
    <t>Инфляция (индекс потребительских  цен)</t>
  </si>
  <si>
    <t>1.2.</t>
  </si>
  <si>
    <t>Индекс эффективности подконтрольных расходов</t>
  </si>
  <si>
    <t>1.3.</t>
  </si>
  <si>
    <t>Количество активов</t>
  </si>
  <si>
    <t>у.е.</t>
  </si>
  <si>
    <t>1.4.</t>
  </si>
  <si>
    <t>Индекс изменения количества активов</t>
  </si>
  <si>
    <t>1.5.</t>
  </si>
  <si>
    <t>Коэффициент эластичности подконтрольных расходов по количеству активов</t>
  </si>
  <si>
    <t>1.6.</t>
  </si>
  <si>
    <t>ИТОГО коэффициент индексации</t>
  </si>
  <si>
    <t>Расчет подконтрольных расходов</t>
  </si>
  <si>
    <t>Материальные затраты</t>
  </si>
  <si>
    <t>2.1.1.</t>
  </si>
  <si>
    <t>Сырье, материалы, запасные части, инструмент, топливо</t>
  </si>
  <si>
    <t>2.1.2.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</si>
  <si>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</si>
  <si>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Расходы на оплату труда</t>
  </si>
  <si>
    <t>Прочие расходы производственного  характера, всего</t>
  </si>
  <si>
    <t>Ремонт основных фондов</t>
  </si>
  <si>
    <t>2.3.2.</t>
  </si>
  <si>
    <t>Оплата работ и услуг сторонних организаций</t>
  </si>
  <si>
    <t>2.3.2.1</t>
  </si>
  <si>
    <t>Услуги связи</t>
  </si>
  <si>
    <t>2.3.2.2</t>
  </si>
  <si>
    <t>Расходы на услуги вневедомственной охраны и коммунального хозяйства</t>
  </si>
  <si>
    <t>2.3.2.3</t>
  </si>
  <si>
    <t>Транспортные услуги</t>
  </si>
  <si>
    <t>2.3.2.4</t>
  </si>
  <si>
    <t>Услуги банка</t>
  </si>
  <si>
    <t>2.3.2.5</t>
  </si>
  <si>
    <t>Прочие услуги сторонних организаций</t>
  </si>
  <si>
    <t>2.3.3.</t>
  </si>
  <si>
    <t>Расходы на командировки</t>
  </si>
  <si>
    <t>2.3.4.</t>
  </si>
  <si>
    <t>Расходы на подготовку кадров</t>
  </si>
  <si>
    <t>2.3.5.</t>
  </si>
  <si>
    <t>Расходы на обеспечение нормальных условий труда и мер по технике безопасности</t>
  </si>
  <si>
    <t>2.3.6.</t>
  </si>
  <si>
    <t>Расходы на страхование</t>
  </si>
  <si>
    <t>2.3.7.</t>
  </si>
  <si>
    <t>Другие прочие расходы</t>
  </si>
  <si>
    <t xml:space="preserve">Расходы на социальное  развитие (коллективный  договор)  и  др. из прибыли </t>
  </si>
  <si>
    <t>ИТОГО подконтрольные расходы</t>
  </si>
  <si>
    <t>Расчет неподконтрольных расходов</t>
  </si>
  <si>
    <t>3.1.</t>
  </si>
  <si>
    <t>Электроэнергия на хоз. нужды</t>
  </si>
  <si>
    <t>3.2.</t>
  </si>
  <si>
    <t>Теплоэнергия</t>
  </si>
  <si>
    <t>3.3.</t>
  </si>
  <si>
    <t>Плата за аренду имущества и лизинг</t>
  </si>
  <si>
    <t>3.4.</t>
  </si>
  <si>
    <t>Налоги</t>
  </si>
  <si>
    <t>Налог на имущество</t>
  </si>
  <si>
    <t>Транспортный  налог</t>
  </si>
  <si>
    <t>3.5.</t>
  </si>
  <si>
    <t>Отчисления на социальные нужды (ЕСН)</t>
  </si>
  <si>
    <t>3.6.</t>
  </si>
  <si>
    <t>Прочие неподконтрольные расходы</t>
  </si>
  <si>
    <t>3.7.</t>
  </si>
  <si>
    <t>Налог на прибыль</t>
  </si>
  <si>
    <t>3.8.</t>
  </si>
  <si>
    <t>Выпадающие доходы/экономия средств</t>
  </si>
  <si>
    <t>3.9.</t>
  </si>
  <si>
    <t>Амортизация  основных  средств</t>
  </si>
  <si>
    <t>3.10.</t>
  </si>
  <si>
    <t xml:space="preserve">Расходы  на  финансирование  капитальных вложений из прибыли  </t>
  </si>
  <si>
    <t>3.11.</t>
  </si>
  <si>
    <t>ИТОГО неподконтрольных расходов</t>
  </si>
  <si>
    <t>НВВ всего</t>
  </si>
  <si>
    <t>Корректировка НВВ по факту за предшествующие периоды регулирования</t>
  </si>
  <si>
    <t>Корректировка НВВ с учетом надежности и качества оказываемых услуг</t>
  </si>
  <si>
    <t>НВВ итого</t>
  </si>
  <si>
    <t>Расходы  на  оплату  технологического  расхода(потерь) электрической  энергии</t>
  </si>
  <si>
    <t>руб./МВт.мес.</t>
  </si>
  <si>
    <t xml:space="preserve">Основание: Приказ Госстроя РФ от 03.04.2000 N 68 "Об утверждении Рекомендаций по нормированию труда работников энергетического хозяйства Часть 3  </t>
  </si>
  <si>
    <t xml:space="preserve"> РАСЧЕТ НОРМАТИВНОЙ ЧИСЛЕННОСТИ РАБОТНИКОВ КОММУНАЛЬНЫХ ЭЛЕКТРОЭНЕРГЕТИЧЕСКИХ ПРЕДПРИЯТИЙ</t>
  </si>
  <si>
    <t>2. Определение численности рабочих</t>
  </si>
  <si>
    <t>Показатель</t>
  </si>
  <si>
    <t>Количественное значение</t>
  </si>
  <si>
    <t>численность, чел.</t>
  </si>
  <si>
    <t>Фактическое значение</t>
  </si>
  <si>
    <t>Нормативная численность, чел.</t>
  </si>
  <si>
    <t>№ раздела сборника</t>
  </si>
  <si>
    <t>Воздушные линии электропередачи (напряжением 6-20 кВ)                   Тип опоры:</t>
  </si>
  <si>
    <t>ж/б металлические</t>
  </si>
  <si>
    <t>п.2.2.1</t>
  </si>
  <si>
    <t>деревянные с ж/б приставками</t>
  </si>
  <si>
    <t xml:space="preserve">деревянные  </t>
  </si>
  <si>
    <t>Воздушные линии электропередачи (напряжением до 1000 В)                   Тип опоры:</t>
  </si>
  <si>
    <t>металлические</t>
  </si>
  <si>
    <t>железобетонные</t>
  </si>
  <si>
    <t>Кабельные линии до 1 кВ</t>
  </si>
  <si>
    <t>п.2.2.2</t>
  </si>
  <si>
    <t>Кабельные линии 6-10 кВ</t>
  </si>
  <si>
    <t>Концевые кабельные заделки (воронки)</t>
  </si>
  <si>
    <t>ед.</t>
  </si>
  <si>
    <t>п.2.2.3</t>
  </si>
  <si>
    <t>Мачтовые трансформаторные подстанции</t>
  </si>
  <si>
    <t>п.2.2.4</t>
  </si>
  <si>
    <t>Закрытые трансформаторные подстанции с одним трансформатором и двухсторонним питанием по высокой стороне</t>
  </si>
  <si>
    <t>Закрытые трансформаторные подстанции с двумя трансформатором и двухсторонним питанием по высокой стороне</t>
  </si>
  <si>
    <t>Распределительные и фидерные пункты</t>
  </si>
  <si>
    <t>54 по рп</t>
  </si>
  <si>
    <t>Распределительные пункты с постоянным дежурством персонала</t>
  </si>
  <si>
    <t>Количество комплектов АПВ и АВР</t>
  </si>
  <si>
    <t>п.2.2.5</t>
  </si>
  <si>
    <t>Количество присоединений на напряжение до 20 кВ:</t>
  </si>
  <si>
    <t>п.2.2.6</t>
  </si>
  <si>
    <t>с масленным выключателем</t>
  </si>
  <si>
    <t>с выключателем нагрузки</t>
  </si>
  <si>
    <t>с разъединителем</t>
  </si>
  <si>
    <t>Количество абонентов (потребителей) бытового сектора, в т.ч.:</t>
  </si>
  <si>
    <t>одноэтажная застройка (включая котеджи независимо от количества этажей)</t>
  </si>
  <si>
    <t>п.2.2.7</t>
  </si>
  <si>
    <t>многоэтажная застройка</t>
  </si>
  <si>
    <t>Количество прочих абонентов (потребителей)</t>
  </si>
  <si>
    <t>п.2.2.8</t>
  </si>
  <si>
    <t>Количество счетчиков, находящихся в ремонте</t>
  </si>
  <si>
    <t>Однофазных</t>
  </si>
  <si>
    <t>п.2.2.9</t>
  </si>
  <si>
    <t>Трехфазных</t>
  </si>
  <si>
    <t>Количество маслянных выключателей</t>
  </si>
  <si>
    <t>п.2.2.10</t>
  </si>
  <si>
    <t>Количество выключателей нагрузки и разъединителей, маслянных выключателей</t>
  </si>
  <si>
    <t>Механические мастерские</t>
  </si>
  <si>
    <t>усл.ед.</t>
  </si>
  <si>
    <t>п.2.2.12</t>
  </si>
  <si>
    <t>С учетом коэффициента невыходов</t>
  </si>
  <si>
    <t>коэфф.</t>
  </si>
  <si>
    <t>Приложение №5</t>
  </si>
  <si>
    <t>Итого с учетом коэфф. для участков линий проходящих по труднодоступным трассам (для заболоченных трасс)</t>
  </si>
  <si>
    <t>Приложение №1</t>
  </si>
  <si>
    <t xml:space="preserve"> РАСЧЕТ НОРМАТИВНОЙ ЧИСЛЕННОСТИ РАБОТНИКОВ КОММУНАЛЬНЫХ
ЭЛЕКТРОЭНЕРГЕТИЧЕСКИХ ПРЕДПРИЯТИЙ
</t>
  </si>
  <si>
    <t>1. Расчет нормативной численности руководителей, специалистов и служащих</t>
  </si>
  <si>
    <t>Наименование функций управления</t>
  </si>
  <si>
    <t>Фактор влияния</t>
  </si>
  <si>
    <t>Количественное значение фактора</t>
  </si>
  <si>
    <t>Численность чел</t>
  </si>
  <si>
    <t>1. Общее руководство</t>
  </si>
  <si>
    <t>Среднесписочная численность работников предприятия</t>
  </si>
  <si>
    <t>п.2.1.1</t>
  </si>
  <si>
    <t>2. Бухгалтерский учет и финансовая деятельность</t>
  </si>
  <si>
    <t>3. Комплектование и учет кадров</t>
  </si>
  <si>
    <t>4. Материально-техническое снабжение</t>
  </si>
  <si>
    <t>5. Общее делопроизводство и хозяйственное обслуживание</t>
  </si>
  <si>
    <t>6. Организация охраны труда и техники безопасности</t>
  </si>
  <si>
    <t>7. Правовое обслуживание</t>
  </si>
  <si>
    <t>8. Технико-экономическое планирование, организация труда и заработной платы</t>
  </si>
  <si>
    <t>9.Оперативно-диспетчерское  обслуживание</t>
  </si>
  <si>
    <t>Количество у.е.</t>
  </si>
  <si>
    <t>2.1.4.</t>
  </si>
  <si>
    <t>10.Организация сбыта, контроль за рациональным использованием электроэнергии</t>
  </si>
  <si>
    <t xml:space="preserve">Количество абонентов  </t>
  </si>
  <si>
    <t>11. Организация ремонтно-эксплуатационного обслуживания, средств релейной защиты, автоматики, измерений, телемеханики, электронно-информационных устройств, испытания защитных стредств, эксплуатации средств связи</t>
  </si>
  <si>
    <t>Количество обслуживаемых электроподстанций, МТП, РП, ТП</t>
  </si>
  <si>
    <t>п.2.1.5</t>
  </si>
  <si>
    <t>12. Организация ремонта силовых трансформаторов, электротехнического оборудования и маслянного хозяйство</t>
  </si>
  <si>
    <t>Количество трансформаторов находящихся в эксплуатации</t>
  </si>
  <si>
    <t>п.2.1.6</t>
  </si>
  <si>
    <t>13. Организация ремонтно-эксплуатационного обслуживания оборудования, электроэнергетических устройств и сооружений</t>
  </si>
  <si>
    <t>Среднесписочная численность рабочих района (участка)</t>
  </si>
  <si>
    <t>п.2.1.7</t>
  </si>
  <si>
    <t>СН I</t>
  </si>
  <si>
    <t>СН II</t>
  </si>
  <si>
    <t>ЛЭП</t>
  </si>
  <si>
    <t>Потери холостого хода в трансформаторах</t>
  </si>
  <si>
    <t>население и приравненные к населению</t>
  </si>
  <si>
    <t>из них - население и приравненные к населению</t>
  </si>
  <si>
    <t xml:space="preserve">Уровень утвержденный Реш. РСТ от       №        </t>
  </si>
  <si>
    <t>Расчет производственных расходов по</t>
  </si>
  <si>
    <t>т.квтч</t>
  </si>
  <si>
    <t>руб</t>
  </si>
  <si>
    <t>Масло трансформаторное</t>
  </si>
  <si>
    <t>кг</t>
  </si>
  <si>
    <t>Количество, всего</t>
  </si>
  <si>
    <t>Электроэнергия</t>
  </si>
  <si>
    <t xml:space="preserve">квт ч </t>
  </si>
  <si>
    <t>Цена за 1 квт ч</t>
  </si>
  <si>
    <t>Тепло</t>
  </si>
  <si>
    <t>Гкал</t>
  </si>
  <si>
    <t>Цена за 1 Гкал</t>
  </si>
  <si>
    <t>Вода</t>
  </si>
  <si>
    <t>Норма на  натур.ед.</t>
  </si>
  <si>
    <t>куб.м</t>
  </si>
  <si>
    <t>Цена за  1 куб.м</t>
  </si>
  <si>
    <t>к-во</t>
  </si>
  <si>
    <t>цена</t>
  </si>
  <si>
    <t>сумма</t>
  </si>
  <si>
    <t>Хоз.инвентарь</t>
  </si>
  <si>
    <t>Для ремонта</t>
  </si>
  <si>
    <t>Спецодежда</t>
  </si>
  <si>
    <t>Цена за кг/л</t>
  </si>
  <si>
    <t>Расход на тыс. квт ч (норма)</t>
  </si>
  <si>
    <t>Количество - объем отпускав сеть</t>
  </si>
  <si>
    <t>1.1.Основное сырье и материалы</t>
  </si>
  <si>
    <t>Расшифровка сырья, материалов и иных расходов на хозяйственные нужды.</t>
  </si>
  <si>
    <t>наименование СиМ</t>
  </si>
  <si>
    <t>1.3. Энергетика на хоз. нужды</t>
  </si>
  <si>
    <t>* При необходимости дополняется нужными столбцами (количество лет в периоде) и строками</t>
  </si>
  <si>
    <t>* Строка 4 формы заполняется с учетом данных отраженных в форме П1.17.1</t>
  </si>
  <si>
    <t>* Вслучае изменения амортизации, в связи с уменьшением или увеличением ОПФ дополняется нужными столбцами (количество лет в периоде)</t>
  </si>
  <si>
    <t>Прочие налоги и сборы (УСН…)</t>
  </si>
  <si>
    <t>Аренда за землю / Налог на землю</t>
  </si>
  <si>
    <t>плата за аренду имущества и лизинг</t>
  </si>
  <si>
    <t>* при необходимости добавить необходимый вид расходов</t>
  </si>
  <si>
    <t>другие расходы…*</t>
  </si>
  <si>
    <t>Основание</t>
  </si>
  <si>
    <t>расходы на охрану труда, мер. технику безопасности</t>
  </si>
  <si>
    <t>ВСЕГО расходов</t>
  </si>
  <si>
    <t>ВСЕГО  расходов</t>
  </si>
  <si>
    <t>Материальные затраты (сырье и материалы)</t>
  </si>
  <si>
    <t xml:space="preserve">в т.ч.расходы ….., </t>
  </si>
  <si>
    <t>в том числе транзит электроэнергии</t>
  </si>
  <si>
    <t>в том числе транзитные потери мощности</t>
  </si>
  <si>
    <t>в том числе транзитные потери электроэнергии</t>
  </si>
  <si>
    <t>Электроэнергия на технологические цели</t>
  </si>
  <si>
    <t>3.5.1</t>
  </si>
  <si>
    <t>3.5.2.</t>
  </si>
  <si>
    <t>3.5.3</t>
  </si>
  <si>
    <t>3.5.4.</t>
  </si>
  <si>
    <t>3.12</t>
  </si>
  <si>
    <t>Предложение ТСО</t>
  </si>
  <si>
    <t>Отклонение, "-", "+"</t>
  </si>
  <si>
    <t>Структура, %</t>
  </si>
  <si>
    <t>у.ед.</t>
  </si>
  <si>
    <t>СН 1</t>
  </si>
  <si>
    <t>СН 2</t>
  </si>
  <si>
    <t>баз ур подконт расх, млн р.</t>
  </si>
  <si>
    <t>вел технол расх потерь ээ, %</t>
  </si>
  <si>
    <t>4.1.</t>
  </si>
  <si>
    <t>прочие потребители</t>
  </si>
  <si>
    <t>4.2.3</t>
  </si>
  <si>
    <t>отпуск в другие сети</t>
  </si>
  <si>
    <t>Собственное потребление</t>
  </si>
  <si>
    <t>Заявленная (расчетная) мощность собственных потребителей</t>
  </si>
  <si>
    <t>прочим потребителям</t>
  </si>
  <si>
    <t>Потребителям, присоединенным к сетям ТСО</t>
  </si>
  <si>
    <t>Собственное потребление (производство)</t>
  </si>
  <si>
    <t>Отпуск электроэнергии в сеть, в том числе:</t>
  </si>
  <si>
    <t>Расходы  на  оплату  технологического  расхода (потерь) электрической  энергии</t>
  </si>
  <si>
    <t>НВВ с учетом расходов на оплату технологического расхода (потерь) электрической  энергии</t>
  </si>
  <si>
    <t>3.4.1</t>
  </si>
  <si>
    <t>3.4.2.</t>
  </si>
  <si>
    <t>3.4.3</t>
  </si>
  <si>
    <t>3.4.4.</t>
  </si>
  <si>
    <t>3.11</t>
  </si>
  <si>
    <t>11.2</t>
  </si>
  <si>
    <t>11.1</t>
  </si>
  <si>
    <t>15.1</t>
  </si>
  <si>
    <t>15.2</t>
  </si>
  <si>
    <t>16.1</t>
  </si>
  <si>
    <t>16.2</t>
  </si>
  <si>
    <t>17.1</t>
  </si>
  <si>
    <t>17.2</t>
  </si>
  <si>
    <t>18.1</t>
  </si>
  <si>
    <t>18.2</t>
  </si>
  <si>
    <t>20.1</t>
  </si>
  <si>
    <t>20.2</t>
  </si>
  <si>
    <t>_______ год (фактический уровень)</t>
  </si>
  <si>
    <t>_______ г.</t>
  </si>
  <si>
    <t>________ г. (фактический уровень)</t>
  </si>
  <si>
    <t>* применяется при установлении тарифов для ТСО вышедших в первые</t>
  </si>
  <si>
    <t>Факт ______год</t>
  </si>
  <si>
    <t>РАСЧЕТ</t>
  </si>
  <si>
    <t>средней ступени оплаты и тарифного коэффициента соответствующей ступени</t>
  </si>
  <si>
    <t>Ступени оплаты</t>
  </si>
  <si>
    <t>Тарифный коэффициент</t>
  </si>
  <si>
    <t>Численность, чел.</t>
  </si>
  <si>
    <t>Всего ступеней (гр. 2 х гр.8)</t>
  </si>
  <si>
    <t>Средняя ступень оплаты (гр. 9/ гр.8)</t>
  </si>
  <si>
    <t>Сумма тарифных коэффициентов (гр. 3 х гр.8)</t>
  </si>
  <si>
    <t>Тарифный коэффициент соотв. ступени по ОТ (гр. 11/ гр. 8)</t>
  </si>
  <si>
    <t>рабочие</t>
  </si>
  <si>
    <t>служащие</t>
  </si>
  <si>
    <t>специалисты</t>
  </si>
  <si>
    <t>руководители</t>
  </si>
  <si>
    <t>Всего:         (гр. 4+5+6+7)</t>
  </si>
  <si>
    <t>ИТОГО:</t>
  </si>
  <si>
    <t>Таблица П1.16</t>
  </si>
  <si>
    <t>1 полугодие</t>
  </si>
  <si>
    <t>2 полугодие</t>
  </si>
  <si>
    <t xml:space="preserve">Отраслевое тарифное соглашение в электроэнергетике Российской Федерации, прогноз социально-экономического развития РФ на 2017 год </t>
  </si>
  <si>
    <t>Марка тр-ра</t>
  </si>
  <si>
    <t>Норма</t>
  </si>
  <si>
    <t>Сумма</t>
  </si>
  <si>
    <t>ТМ-100</t>
  </si>
  <si>
    <t>ТМ-160</t>
  </si>
  <si>
    <t>ТМ-250</t>
  </si>
  <si>
    <t>ТМ-400</t>
  </si>
  <si>
    <t>ТМ-630</t>
  </si>
  <si>
    <t>ТМ-1000</t>
  </si>
  <si>
    <t>Норматив</t>
  </si>
  <si>
    <t>Итого по организации, тыс. руб.</t>
  </si>
  <si>
    <t>Договор</t>
  </si>
  <si>
    <t>эн. снабж.</t>
  </si>
  <si>
    <t>теплоснабж</t>
  </si>
  <si>
    <t>Итого по организации, тыс. руб</t>
  </si>
  <si>
    <t>тыс. руб</t>
  </si>
  <si>
    <t>Аренда</t>
  </si>
  <si>
    <t>На производственные расходы</t>
  </si>
  <si>
    <t>Ворсина О.Л.</t>
  </si>
  <si>
    <t>Арендодатель</t>
  </si>
  <si>
    <t>ИП Ожегов</t>
  </si>
  <si>
    <t>ИП Шихов</t>
  </si>
  <si>
    <t>ОАО "Кировплем"</t>
  </si>
  <si>
    <t>ООО "ВС"</t>
  </si>
  <si>
    <t>ООО "ИМКОМ"</t>
  </si>
  <si>
    <t>ООО "Лига"</t>
  </si>
  <si>
    <t>ООО "Логистик центр"</t>
  </si>
  <si>
    <t>ООО "Монтажные технологии" А-1</t>
  </si>
  <si>
    <t>в год</t>
  </si>
  <si>
    <t>ООО "Монтажные технологии" А-16</t>
  </si>
  <si>
    <t>ООО "Респект"</t>
  </si>
  <si>
    <t>ООО "Рубикон"</t>
  </si>
  <si>
    <t>ООО "Стройэлектро"</t>
  </si>
  <si>
    <t>ООО "Форум"</t>
  </si>
  <si>
    <t>ИП Шихов А-17-1</t>
  </si>
  <si>
    <t>Шихов М.В.</t>
  </si>
  <si>
    <t>На общехозяйственные расходы:</t>
  </si>
  <si>
    <t>ООО "Энергосфера"</t>
  </si>
  <si>
    <t>Период регулирования (2017)</t>
  </si>
  <si>
    <t>Примечание: на основании штатного расписания от __.__.2016</t>
  </si>
  <si>
    <t>Электроэнергия для обогрева ТП</t>
  </si>
  <si>
    <t>Суммарная мощность электрообогревателей - 5,5 кВт</t>
  </si>
  <si>
    <t>Среднее число часов работы электрообогревателей - 4360</t>
  </si>
  <si>
    <t>Количество электрической энергии = 4360*5,5 = 23980</t>
  </si>
  <si>
    <t>ООО "Анкор"</t>
  </si>
  <si>
    <t>Штанга изол. 10 кВ ШОУ-10Д</t>
  </si>
  <si>
    <t>Штанга изол. 0,4 кВ ШО-1Д</t>
  </si>
  <si>
    <t>Перчатки диэлектрические</t>
  </si>
  <si>
    <t>Заземление переносное ЗПП-15Д</t>
  </si>
  <si>
    <t>Заземление переносное ПЗРУ-1</t>
  </si>
  <si>
    <t>Заземление переносное ЗПЛ-10Д</t>
  </si>
  <si>
    <t>Коврик изолирующий</t>
  </si>
  <si>
    <t>Накладки защитные</t>
  </si>
  <si>
    <t>Указатель напряжения УВНУ 10Д</t>
  </si>
  <si>
    <t>Указатель напряжения УВНУ.ТФ 10Д</t>
  </si>
  <si>
    <t>Указатель напряжения ПИН-50-1000В</t>
  </si>
  <si>
    <t>Сигнализатор напр. инд. СНИУ.Д 3-10 кВ</t>
  </si>
  <si>
    <t>Ботинки диэлектрические</t>
  </si>
  <si>
    <t>пара</t>
  </si>
  <si>
    <t>Клещи токоизмерительные Ц-4502</t>
  </si>
  <si>
    <t>Клещи токоизмерительные К-4575А</t>
  </si>
  <si>
    <t>Каска защитная</t>
  </si>
  <si>
    <t>Очки защитные прозрачные</t>
  </si>
  <si>
    <t>Пояс монтерский ПП 2 АЖ</t>
  </si>
  <si>
    <t>Строп страховочный</t>
  </si>
  <si>
    <t>Щиток</t>
  </si>
  <si>
    <t>Плакат запрещающий</t>
  </si>
  <si>
    <t>Отвертка</t>
  </si>
  <si>
    <t>Пассатижи</t>
  </si>
  <si>
    <t>Нож</t>
  </si>
  <si>
    <t>Бокорезы 170 мм</t>
  </si>
  <si>
    <t>Предохранитель ПТ-13-6-100-31,5</t>
  </si>
  <si>
    <t>Вставка плавкая ПН-2 400А</t>
  </si>
  <si>
    <t>Вставка плавкая ПН-2 250А</t>
  </si>
  <si>
    <t>Изолятор ИО-10</t>
  </si>
  <si>
    <t>Изолятор ИО-1-2,5</t>
  </si>
  <si>
    <t>Рубильник РПС-4 400А</t>
  </si>
  <si>
    <t>Рубильник РПС-2 250А</t>
  </si>
  <si>
    <t>Муфта 3СТп-10У-150…240</t>
  </si>
  <si>
    <t>Муфта 3КНтпН-10-150/240</t>
  </si>
  <si>
    <t>Муфта 4СТп-1-150…240</t>
  </si>
  <si>
    <t>Муфта 4СТп-1-70…120</t>
  </si>
  <si>
    <t>Муфта 4КНтпН-1-150…240</t>
  </si>
  <si>
    <t>Муфта 4КНтпН-1-70…120</t>
  </si>
  <si>
    <t>Предохранитель ПКТ-101-10-16-31,5</t>
  </si>
  <si>
    <t>Предохранитель ПКТ-1,2-10-50-31,5</t>
  </si>
  <si>
    <t>Модуль</t>
  </si>
  <si>
    <t>Блок управления БУ 100/220-12-03А</t>
  </si>
  <si>
    <t>Устр-во защиты Сириус-2-Л-5А-220В-И1</t>
  </si>
  <si>
    <t>Предохранитель ПКТ-1,2-10-31,5-31,5</t>
  </si>
  <si>
    <t>Предохранитель ПКТ-1,2-6-40-31,5</t>
  </si>
  <si>
    <t>Вставка плавкая ППН-37 250А</t>
  </si>
  <si>
    <t>Вставка плавкая ППН-37 400А</t>
  </si>
  <si>
    <t>Рубильник ПВР-1</t>
  </si>
  <si>
    <t>Предохранитель ПКТ-1,2-6-20-31,5</t>
  </si>
  <si>
    <t>Оборуд. метролог. CE602-100K-7.5H</t>
  </si>
  <si>
    <t>Клещи токоизмерительные Sonel CMP-1006</t>
  </si>
  <si>
    <t>1.2. Сырье, материалы, инструмент, з.ч.</t>
  </si>
  <si>
    <t>Наименование ср-ва защиты</t>
  </si>
  <si>
    <t>кол-во</t>
  </si>
  <si>
    <t>Итого средств защиты</t>
  </si>
  <si>
    <t>Расчет расходов на обеспечение средствами защиты</t>
  </si>
  <si>
    <t>Расчет расходов на обеспечение мер по технике безопасности</t>
  </si>
  <si>
    <t>Обучение и аттестация персонала в органах Ростехнадзора</t>
  </si>
  <si>
    <t>шт</t>
  </si>
  <si>
    <t>Всего расходов</t>
  </si>
  <si>
    <t>Исполнительный директор_______________Д.А. Казаков</t>
  </si>
  <si>
    <t>Исполнительный директор___________________Д.А.Казаков</t>
  </si>
  <si>
    <t>Испольнительный директор_________________Д.А. Казаков</t>
  </si>
  <si>
    <t>Исполнительный директор _________________Д.А. казаков</t>
  </si>
  <si>
    <t>по КО</t>
  </si>
  <si>
    <t>по оплате труда по ООО "Энергосфера" на 2018, 2019, 2020 годы</t>
  </si>
  <si>
    <t>Период регулирования (2018)</t>
  </si>
  <si>
    <t>Период регулирования (2018-2020)</t>
  </si>
  <si>
    <t xml:space="preserve">Расчет тарифов на услуги по передаче электрической  энергии по сетям  ООО "Энергосфера" на 2018-2020 годы </t>
  </si>
  <si>
    <t>Период регулирования (2018-2020</t>
  </si>
  <si>
    <t>Единица изм.</t>
  </si>
  <si>
    <t xml:space="preserve">Утвержденно на 2017 год Реш. РСТ от 28.02.2017       № 7/1-77-2017        </t>
  </si>
  <si>
    <t>2018  г. (базовый уровень)</t>
  </si>
  <si>
    <t>Расчет ТСО на 2018 год</t>
  </si>
  <si>
    <t>Расчет РСТ на 2018 год</t>
  </si>
  <si>
    <t xml:space="preserve">Расчет тарифов на услуги по передаче электрической  энергии по сетям  ООО "Энергосфера" на долгосрочный период 2018  -  2020 гг. </t>
  </si>
  <si>
    <t>2020 г.</t>
  </si>
  <si>
    <t xml:space="preserve"> 2019 г.</t>
  </si>
</sst>
</file>

<file path=xl/styles.xml><?xml version="1.0" encoding="utf-8"?>
<styleSheet xmlns="http://schemas.openxmlformats.org/spreadsheetml/2006/main">
  <numFmts count="12">
    <numFmt numFmtId="164" formatCode="_-* #,##0.00_р_._-;\-* #,##0.00_р_._-;_-* &quot;-&quot;??_р_._-;_-@_-"/>
    <numFmt numFmtId="165" formatCode="0.000"/>
    <numFmt numFmtId="166" formatCode="0.0000"/>
    <numFmt numFmtId="167" formatCode="0.0"/>
    <numFmt numFmtId="168" formatCode="_(* #,##0.00_);_(* \(#,##0.00\);_(* \-??_);_(@_)"/>
    <numFmt numFmtId="169" formatCode="_(* #,##0.00_);_(* \(#,##0.00\);_(* &quot;-&quot;??_);_(@_)"/>
    <numFmt numFmtId="170" formatCode="#,##0.0"/>
    <numFmt numFmtId="171" formatCode="0.0%"/>
    <numFmt numFmtId="172" formatCode="#,##0_);[Red]\(#,##0\)"/>
    <numFmt numFmtId="173" formatCode="_-* #,##0.00[$€-1]_-;\-* #,##0.00[$€-1]_-;_-* &quot;-&quot;??[$€-1]_-"/>
    <numFmt numFmtId="174" formatCode="#,##0.000"/>
    <numFmt numFmtId="175" formatCode="General_)"/>
  </numFmts>
  <fonts count="90">
    <font>
      <sz val="10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"/>
      <family val="2"/>
      <charset val="204"/>
    </font>
    <font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 CYR"/>
      <charset val="204"/>
    </font>
    <font>
      <b/>
      <sz val="9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b/>
      <sz val="12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9"/>
      <name val="Times New Roman"/>
      <family val="1"/>
      <charset val="204"/>
    </font>
    <font>
      <b/>
      <sz val="10"/>
      <color indexed="12"/>
      <name val="Arial Cyr"/>
      <family val="2"/>
      <charset val="204"/>
    </font>
    <font>
      <sz val="8"/>
      <name val="Arial"/>
      <family val="2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</font>
    <font>
      <u/>
      <sz val="10"/>
      <color indexed="36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9"/>
      </patternFill>
    </fill>
    <fill>
      <patternFill patternType="lightDown">
        <fgColor indexed="22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7"/>
      </patternFill>
    </fill>
  </fills>
  <borders count="1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173" fontId="47" fillId="0" borderId="0" applyFont="0" applyFill="0" applyBorder="0" applyAlignment="0" applyProtection="0">
      <alignment vertical="top"/>
    </xf>
    <xf numFmtId="173" fontId="46" fillId="0" borderId="0" applyFont="0" applyFill="0" applyBorder="0" applyAlignment="0" applyProtection="0">
      <alignment vertical="top"/>
    </xf>
    <xf numFmtId="0" fontId="37" fillId="20" borderId="0" applyNumberFormat="0" applyBorder="0" applyAlignment="0" applyProtection="0"/>
    <xf numFmtId="0" fontId="37" fillId="22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175" fontId="3" fillId="0" borderId="1">
      <protection locked="0"/>
    </xf>
    <xf numFmtId="0" fontId="29" fillId="4" borderId="2" applyNumberFormat="0" applyAlignment="0" applyProtection="0"/>
    <xf numFmtId="0" fontId="30" fillId="15" borderId="3" applyNumberFormat="0" applyAlignment="0" applyProtection="0"/>
    <xf numFmtId="0" fontId="31" fillId="15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Border="0">
      <alignment horizontal="center" vertical="center" wrapText="1"/>
    </xf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7" applyBorder="0">
      <alignment horizontal="center" vertical="center" wrapText="1"/>
    </xf>
    <xf numFmtId="175" fontId="81" fillId="24" borderId="1"/>
    <xf numFmtId="4" fontId="12" fillId="25" borderId="8" applyBorder="0">
      <alignment horizontal="right"/>
    </xf>
    <xf numFmtId="0" fontId="36" fillId="0" borderId="9" applyNumberFormat="0" applyFill="0" applyAlignment="0" applyProtection="0"/>
    <xf numFmtId="0" fontId="33" fillId="23" borderId="10" applyNumberFormat="0" applyAlignment="0" applyProtection="0"/>
    <xf numFmtId="0" fontId="44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86" fillId="0" borderId="0"/>
    <xf numFmtId="0" fontId="25" fillId="0" borderId="0"/>
    <xf numFmtId="0" fontId="25" fillId="0" borderId="0"/>
    <xf numFmtId="0" fontId="25" fillId="0" borderId="0"/>
    <xf numFmtId="0" fontId="86" fillId="0" borderId="0"/>
    <xf numFmtId="0" fontId="82" fillId="0" borderId="0"/>
    <xf numFmtId="0" fontId="45" fillId="0" borderId="0"/>
    <xf numFmtId="0" fontId="45" fillId="0" borderId="0"/>
    <xf numFmtId="0" fontId="25" fillId="0" borderId="0"/>
    <xf numFmtId="0" fontId="45" fillId="0" borderId="0"/>
    <xf numFmtId="0" fontId="45" fillId="0" borderId="0"/>
    <xf numFmtId="0" fontId="83" fillId="0" borderId="0"/>
    <xf numFmtId="0" fontId="25" fillId="0" borderId="0"/>
    <xf numFmtId="0" fontId="45" fillId="0" borderId="0"/>
    <xf numFmtId="0" fontId="87" fillId="0" borderId="0"/>
    <xf numFmtId="0" fontId="39" fillId="0" borderId="0"/>
    <xf numFmtId="0" fontId="25" fillId="0" borderId="0"/>
    <xf numFmtId="0" fontId="84" fillId="0" borderId="0"/>
    <xf numFmtId="0" fontId="38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86" fillId="0" borderId="0"/>
    <xf numFmtId="0" fontId="2" fillId="0" borderId="0"/>
    <xf numFmtId="0" fontId="49" fillId="0" borderId="0"/>
    <xf numFmtId="0" fontId="25" fillId="0" borderId="0"/>
    <xf numFmtId="0" fontId="25" fillId="0" borderId="0"/>
    <xf numFmtId="0" fontId="3" fillId="0" borderId="0"/>
    <xf numFmtId="0" fontId="85" fillId="0" borderId="0" applyFill="0" applyBorder="0" applyProtection="0">
      <alignment vertical="top"/>
      <protection locked="0"/>
    </xf>
    <xf numFmtId="0" fontId="27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6" borderId="11" applyNumberFormat="0" applyFont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45" fillId="0" borderId="0" applyFont="0" applyFill="0" applyBorder="0" applyAlignment="0" applyProtection="0"/>
    <xf numFmtId="0" fontId="32" fillId="0" borderId="12" applyNumberFormat="0" applyFill="0" applyAlignment="0" applyProtection="0"/>
    <xf numFmtId="0" fontId="88" fillId="35" borderId="13">
      <alignment horizontal="right"/>
    </xf>
    <xf numFmtId="172" fontId="23" fillId="0" borderId="0">
      <alignment vertical="top"/>
    </xf>
    <xf numFmtId="0" fontId="34" fillId="0" borderId="0" applyNumberFormat="0" applyFill="0" applyBorder="0" applyAlignment="0" applyProtection="0"/>
    <xf numFmtId="169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8" fontId="25" fillId="0" borderId="0" applyFill="0" applyBorder="0" applyAlignment="0" applyProtection="0"/>
    <xf numFmtId="0" fontId="82" fillId="0" borderId="0"/>
    <xf numFmtId="4" fontId="12" fillId="27" borderId="0" applyBorder="0">
      <alignment horizontal="right"/>
    </xf>
    <xf numFmtId="4" fontId="12" fillId="27" borderId="0" applyBorder="0">
      <alignment horizontal="right"/>
    </xf>
    <xf numFmtId="4" fontId="12" fillId="28" borderId="14" applyBorder="0">
      <alignment horizontal="right"/>
    </xf>
    <xf numFmtId="4" fontId="12" fillId="27" borderId="8" applyFont="0" applyBorder="0">
      <alignment horizontal="right"/>
    </xf>
    <xf numFmtId="0" fontId="26" fillId="7" borderId="0" applyNumberFormat="0" applyBorder="0" applyAlignment="0" applyProtection="0"/>
  </cellStyleXfs>
  <cellXfs count="8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29" borderId="15" xfId="0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4" fillId="29" borderId="15" xfId="0" applyFont="1" applyFill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/>
    </xf>
    <xf numFmtId="2" fontId="4" fillId="29" borderId="15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29" borderId="15" xfId="0" applyNumberFormat="1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10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7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wrapText="1"/>
    </xf>
    <xf numFmtId="49" fontId="17" fillId="0" borderId="18" xfId="0" applyNumberFormat="1" applyFont="1" applyBorder="1" applyAlignment="1">
      <alignment horizontal="left" wrapText="1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7" fillId="0" borderId="17" xfId="0" applyFont="1" applyBorder="1" applyAlignment="1">
      <alignment horizontal="center"/>
    </xf>
    <xf numFmtId="0" fontId="17" fillId="0" borderId="15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/>
    </xf>
    <xf numFmtId="167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wrapText="1"/>
    </xf>
    <xf numFmtId="49" fontId="17" fillId="0" borderId="15" xfId="0" applyNumberFormat="1" applyFont="1" applyBorder="1" applyAlignment="1">
      <alignment horizontal="center" vertical="center"/>
    </xf>
    <xf numFmtId="0" fontId="24" fillId="0" borderId="8" xfId="0" applyFont="1" applyBorder="1"/>
    <xf numFmtId="0" fontId="4" fillId="0" borderId="0" xfId="58" applyFont="1" applyProtection="1"/>
    <xf numFmtId="0" fontId="52" fillId="0" borderId="0" xfId="58" applyFont="1" applyProtection="1"/>
    <xf numFmtId="0" fontId="12" fillId="0" borderId="0" xfId="58" applyFont="1" applyProtection="1"/>
    <xf numFmtId="0" fontId="6" fillId="0" borderId="0" xfId="58" applyFont="1" applyAlignment="1" applyProtection="1">
      <alignment horizontal="centerContinuous"/>
    </xf>
    <xf numFmtId="0" fontId="52" fillId="0" borderId="0" xfId="58" applyFont="1" applyAlignment="1" applyProtection="1">
      <alignment horizontal="centerContinuous"/>
    </xf>
    <xf numFmtId="49" fontId="53" fillId="0" borderId="8" xfId="40" applyNumberFormat="1" applyFont="1" applyBorder="1" applyAlignment="1" applyProtection="1">
      <alignment horizontal="center" vertical="center" wrapText="1"/>
    </xf>
    <xf numFmtId="0" fontId="54" fillId="0" borderId="8" xfId="40" applyFont="1" applyBorder="1" applyAlignment="1" applyProtection="1">
      <alignment horizontal="center" vertical="center" wrapText="1"/>
    </xf>
    <xf numFmtId="0" fontId="54" fillId="26" borderId="8" xfId="4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right"/>
    </xf>
    <xf numFmtId="0" fontId="7" fillId="0" borderId="8" xfId="58" applyFont="1" applyBorder="1" applyAlignment="1" applyProtection="1"/>
    <xf numFmtId="0" fontId="22" fillId="0" borderId="8" xfId="58" applyFont="1" applyBorder="1" applyAlignment="1" applyProtection="1">
      <alignment horizontal="center"/>
    </xf>
    <xf numFmtId="0" fontId="55" fillId="0" borderId="8" xfId="58" applyFont="1" applyBorder="1" applyAlignment="1" applyProtection="1">
      <alignment horizontal="center"/>
    </xf>
    <xf numFmtId="16" fontId="4" fillId="0" borderId="8" xfId="0" applyNumberFormat="1" applyFont="1" applyBorder="1" applyAlignment="1">
      <alignment horizontal="right"/>
    </xf>
    <xf numFmtId="49" fontId="56" fillId="0" borderId="8" xfId="35" applyNumberFormat="1" applyFont="1" applyBorder="1" applyAlignment="1" applyProtection="1">
      <alignment horizontal="left" vertical="center" wrapText="1"/>
    </xf>
    <xf numFmtId="0" fontId="57" fillId="0" borderId="8" xfId="58" applyFont="1" applyFill="1" applyBorder="1" applyAlignment="1" applyProtection="1">
      <alignment horizontal="center" vertical="center"/>
    </xf>
    <xf numFmtId="171" fontId="58" fillId="0" borderId="8" xfId="90" applyNumberFormat="1" applyFont="1" applyFill="1" applyBorder="1" applyAlignment="1" applyProtection="1">
      <alignment horizontal="center" vertical="center"/>
      <protection locked="0"/>
    </xf>
    <xf numFmtId="171" fontId="59" fillId="0" borderId="8" xfId="90" applyNumberFormat="1" applyFont="1" applyFill="1" applyBorder="1" applyAlignment="1" applyProtection="1">
      <alignment horizontal="center" vertical="center"/>
      <protection locked="0"/>
    </xf>
    <xf numFmtId="9" fontId="58" fillId="0" borderId="8" xfId="58" applyNumberFormat="1" applyFont="1" applyFill="1" applyBorder="1" applyAlignment="1" applyProtection="1">
      <alignment horizontal="center" vertical="center"/>
      <protection locked="0"/>
    </xf>
    <xf numFmtId="171" fontId="59" fillId="0" borderId="8" xfId="58" applyNumberFormat="1" applyFont="1" applyFill="1" applyBorder="1" applyAlignment="1" applyProtection="1">
      <alignment horizontal="center" vertical="center"/>
      <protection locked="0"/>
    </xf>
    <xf numFmtId="2" fontId="58" fillId="0" borderId="8" xfId="58" applyNumberFormat="1" applyFont="1" applyFill="1" applyBorder="1" applyAlignment="1" applyProtection="1">
      <alignment horizontal="center" vertical="center"/>
      <protection locked="0"/>
    </xf>
    <xf numFmtId="2" fontId="59" fillId="0" borderId="8" xfId="58" applyNumberFormat="1" applyFont="1" applyFill="1" applyBorder="1" applyAlignment="1" applyProtection="1">
      <alignment horizontal="center" vertical="center"/>
      <protection locked="0"/>
    </xf>
    <xf numFmtId="10" fontId="59" fillId="0" borderId="8" xfId="90" applyNumberFormat="1" applyFont="1" applyFill="1" applyBorder="1" applyAlignment="1" applyProtection="1">
      <alignment horizontal="center" vertical="center"/>
    </xf>
    <xf numFmtId="0" fontId="56" fillId="0" borderId="8" xfId="58" applyFont="1" applyBorder="1" applyAlignment="1" applyProtection="1">
      <alignment horizontal="left" vertical="center" wrapText="1"/>
    </xf>
    <xf numFmtId="0" fontId="57" fillId="0" borderId="8" xfId="58" applyFont="1" applyBorder="1" applyAlignment="1" applyProtection="1">
      <alignment horizontal="center" vertical="center" wrapText="1"/>
    </xf>
    <xf numFmtId="2" fontId="58" fillId="0" borderId="8" xfId="90" applyNumberFormat="1" applyFont="1" applyFill="1" applyBorder="1" applyAlignment="1" applyProtection="1">
      <alignment horizontal="center" vertical="center" wrapText="1"/>
      <protection locked="0"/>
    </xf>
    <xf numFmtId="2" fontId="59" fillId="0" borderId="8" xfId="90" applyNumberFormat="1" applyFont="1" applyFill="1" applyBorder="1" applyAlignment="1" applyProtection="1">
      <alignment horizontal="center" vertical="center" wrapText="1"/>
    </xf>
    <xf numFmtId="16" fontId="6" fillId="0" borderId="8" xfId="0" applyNumberFormat="1" applyFont="1" applyBorder="1" applyAlignment="1">
      <alignment horizontal="right"/>
    </xf>
    <xf numFmtId="0" fontId="59" fillId="0" borderId="8" xfId="58" applyFont="1" applyBorder="1" applyAlignment="1" applyProtection="1">
      <alignment horizontal="left" vertical="center"/>
    </xf>
    <xf numFmtId="0" fontId="60" fillId="0" borderId="8" xfId="58" applyFont="1" applyBorder="1" applyAlignment="1" applyProtection="1">
      <alignment horizontal="center" vertical="center" wrapText="1"/>
    </xf>
    <xf numFmtId="165" fontId="58" fillId="0" borderId="8" xfId="58" applyNumberFormat="1" applyFont="1" applyFill="1" applyBorder="1" applyAlignment="1" applyProtection="1">
      <alignment horizontal="centerContinuous" vertical="center" wrapText="1"/>
    </xf>
    <xf numFmtId="165" fontId="59" fillId="0" borderId="8" xfId="58" applyNumberFormat="1" applyFont="1" applyFill="1" applyBorder="1" applyAlignment="1" applyProtection="1">
      <alignment horizontal="centerContinuous" vertical="center" wrapText="1"/>
    </xf>
    <xf numFmtId="49" fontId="6" fillId="0" borderId="8" xfId="58" applyNumberFormat="1" applyFont="1" applyFill="1" applyBorder="1" applyAlignment="1" applyProtection="1">
      <alignment horizontal="right" vertical="center"/>
    </xf>
    <xf numFmtId="0" fontId="56" fillId="0" borderId="8" xfId="58" applyFont="1" applyFill="1" applyBorder="1" applyAlignment="1" applyProtection="1">
      <alignment vertical="top"/>
    </xf>
    <xf numFmtId="0" fontId="60" fillId="0" borderId="8" xfId="58" applyFont="1" applyFill="1" applyBorder="1" applyAlignment="1" applyProtection="1">
      <alignment vertical="top"/>
    </xf>
    <xf numFmtId="0" fontId="61" fillId="0" borderId="8" xfId="58" applyFont="1" applyFill="1" applyBorder="1" applyAlignment="1" applyProtection="1">
      <alignment vertical="top"/>
    </xf>
    <xf numFmtId="49" fontId="4" fillId="0" borderId="8" xfId="58" applyNumberFormat="1" applyFont="1" applyFill="1" applyBorder="1" applyAlignment="1" applyProtection="1">
      <alignment horizontal="right" vertical="center"/>
    </xf>
    <xf numFmtId="0" fontId="56" fillId="0" borderId="8" xfId="58" applyFont="1" applyFill="1" applyBorder="1" applyAlignment="1" applyProtection="1">
      <alignment vertical="center" wrapText="1"/>
    </xf>
    <xf numFmtId="0" fontId="60" fillId="0" borderId="8" xfId="58" applyFont="1" applyFill="1" applyBorder="1" applyAlignment="1" applyProtection="1">
      <alignment horizontal="center" vertical="center" wrapText="1"/>
    </xf>
    <xf numFmtId="170" fontId="61" fillId="0" borderId="8" xfId="110" applyNumberFormat="1" applyFont="1" applyFill="1" applyBorder="1" applyAlignment="1" applyProtection="1">
      <alignment horizontal="right" vertical="center"/>
    </xf>
    <xf numFmtId="170" fontId="56" fillId="0" borderId="8" xfId="110" applyNumberFormat="1" applyFont="1" applyFill="1" applyBorder="1" applyAlignment="1" applyProtection="1">
      <alignment horizontal="right" vertical="center"/>
    </xf>
    <xf numFmtId="170" fontId="52" fillId="0" borderId="8" xfId="110" applyNumberFormat="1" applyFont="1" applyFill="1" applyBorder="1" applyAlignment="1" applyProtection="1">
      <alignment horizontal="right" vertical="center"/>
      <protection locked="0"/>
    </xf>
    <xf numFmtId="170" fontId="7" fillId="0" borderId="8" xfId="110" applyNumberFormat="1" applyFont="1" applyFill="1" applyBorder="1" applyAlignment="1" applyProtection="1">
      <alignment horizontal="right" vertical="center"/>
      <protection locked="0"/>
    </xf>
    <xf numFmtId="4" fontId="56" fillId="0" borderId="8" xfId="110" applyNumberFormat="1" applyFont="1" applyFill="1" applyBorder="1" applyAlignment="1" applyProtection="1">
      <alignment horizontal="right" vertical="center"/>
    </xf>
    <xf numFmtId="0" fontId="56" fillId="0" borderId="8" xfId="58" applyFont="1" applyFill="1" applyBorder="1" applyAlignment="1" applyProtection="1">
      <alignment vertical="center"/>
    </xf>
    <xf numFmtId="0" fontId="7" fillId="0" borderId="8" xfId="58" applyFont="1" applyFill="1" applyBorder="1" applyAlignment="1" applyProtection="1">
      <alignment vertical="center" wrapText="1"/>
    </xf>
    <xf numFmtId="0" fontId="20" fillId="0" borderId="8" xfId="58" applyFont="1" applyFill="1" applyBorder="1" applyAlignment="1" applyProtection="1">
      <alignment horizontal="center" vertical="center" wrapText="1"/>
    </xf>
    <xf numFmtId="4" fontId="7" fillId="0" borderId="8" xfId="110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right"/>
    </xf>
    <xf numFmtId="0" fontId="62" fillId="0" borderId="8" xfId="0" applyFont="1" applyBorder="1" applyAlignment="1">
      <alignment horizontal="left" indent="1"/>
    </xf>
    <xf numFmtId="0" fontId="20" fillId="0" borderId="8" xfId="0" applyFont="1" applyBorder="1" applyAlignment="1">
      <alignment horizontal="center"/>
    </xf>
    <xf numFmtId="4" fontId="7" fillId="0" borderId="8" xfId="110" applyNumberFormat="1" applyFont="1" applyFill="1" applyBorder="1" applyAlignment="1" applyProtection="1">
      <alignment horizontal="right" vertical="center"/>
    </xf>
    <xf numFmtId="0" fontId="62" fillId="0" borderId="8" xfId="0" applyFont="1" applyBorder="1" applyAlignment="1">
      <alignment horizontal="left" wrapText="1" indent="1"/>
    </xf>
    <xf numFmtId="0" fontId="56" fillId="0" borderId="8" xfId="58" applyFont="1" applyFill="1" applyBorder="1" applyAlignment="1" applyProtection="1">
      <alignment vertical="top" wrapText="1"/>
    </xf>
    <xf numFmtId="0" fontId="59" fillId="0" borderId="8" xfId="58" applyFont="1" applyFill="1" applyBorder="1" applyAlignment="1" applyProtection="1">
      <alignment vertical="center" wrapText="1"/>
    </xf>
    <xf numFmtId="0" fontId="57" fillId="0" borderId="8" xfId="58" applyFont="1" applyFill="1" applyBorder="1" applyAlignment="1" applyProtection="1">
      <alignment horizontal="center" vertical="center" wrapText="1"/>
    </xf>
    <xf numFmtId="4" fontId="21" fillId="0" borderId="8" xfId="110" applyNumberFormat="1" applyFont="1" applyFill="1" applyBorder="1" applyAlignment="1" applyProtection="1">
      <alignment horizontal="right" vertical="center"/>
    </xf>
    <xf numFmtId="0" fontId="20" fillId="0" borderId="8" xfId="58" applyFont="1" applyBorder="1" applyAlignment="1" applyProtection="1"/>
    <xf numFmtId="49" fontId="4" fillId="0" borderId="8" xfId="40" applyNumberFormat="1" applyFont="1" applyFill="1" applyBorder="1" applyAlignment="1" applyProtection="1">
      <alignment horizontal="right" vertical="center" wrapText="1"/>
    </xf>
    <xf numFmtId="0" fontId="56" fillId="0" borderId="8" xfId="40" applyFont="1" applyFill="1" applyBorder="1" applyAlignment="1" applyProtection="1">
      <alignment horizontal="left" vertical="center" wrapText="1"/>
    </xf>
    <xf numFmtId="0" fontId="60" fillId="0" borderId="8" xfId="40" applyFont="1" applyFill="1" applyBorder="1" applyAlignment="1" applyProtection="1">
      <alignment horizontal="center" vertical="center" wrapText="1"/>
    </xf>
    <xf numFmtId="170" fontId="56" fillId="0" borderId="8" xfId="40" applyNumberFormat="1" applyFont="1" applyFill="1" applyBorder="1" applyAlignment="1" applyProtection="1">
      <alignment horizontal="right" vertical="center" wrapText="1"/>
      <protection locked="0"/>
    </xf>
    <xf numFmtId="49" fontId="4" fillId="0" borderId="8" xfId="58" applyNumberFormat="1" applyFont="1" applyFill="1" applyBorder="1" applyAlignment="1" applyProtection="1">
      <alignment horizontal="right"/>
    </xf>
    <xf numFmtId="0" fontId="60" fillId="0" borderId="8" xfId="58" applyFont="1" applyFill="1" applyBorder="1" applyAlignment="1" applyProtection="1">
      <alignment horizontal="center" vertical="top" wrapText="1"/>
    </xf>
    <xf numFmtId="170" fontId="7" fillId="0" borderId="8" xfId="110" applyNumberFormat="1" applyFont="1" applyFill="1" applyBorder="1" applyProtection="1">
      <alignment horizontal="right"/>
      <protection locked="0"/>
    </xf>
    <xf numFmtId="170" fontId="61" fillId="0" borderId="8" xfId="109" applyNumberFormat="1" applyFont="1" applyFill="1" applyBorder="1" applyProtection="1">
      <alignment horizontal="right"/>
    </xf>
    <xf numFmtId="170" fontId="56" fillId="0" borderId="8" xfId="109" applyNumberFormat="1" applyFont="1" applyFill="1" applyBorder="1" applyProtection="1">
      <alignment horizontal="right"/>
    </xf>
    <xf numFmtId="0" fontId="63" fillId="0" borderId="8" xfId="58" applyFont="1" applyFill="1" applyBorder="1" applyAlignment="1" applyProtection="1">
      <alignment horizontal="left" vertical="top" wrapText="1" indent="1"/>
    </xf>
    <xf numFmtId="170" fontId="7" fillId="0" borderId="8" xfId="109" applyNumberFormat="1" applyFont="1" applyFill="1" applyBorder="1" applyProtection="1">
      <alignment horizontal="right"/>
      <protection locked="0"/>
    </xf>
    <xf numFmtId="170" fontId="7" fillId="0" borderId="8" xfId="109" applyNumberFormat="1" applyFont="1" applyFill="1" applyBorder="1" applyProtection="1">
      <alignment horizontal="right"/>
    </xf>
    <xf numFmtId="49" fontId="6" fillId="0" borderId="8" xfId="58" applyNumberFormat="1" applyFont="1" applyFill="1" applyBorder="1" applyAlignment="1" applyProtection="1">
      <alignment horizontal="right"/>
    </xf>
    <xf numFmtId="0" fontId="6" fillId="0" borderId="8" xfId="58" applyFont="1" applyBorder="1" applyProtection="1"/>
    <xf numFmtId="0" fontId="21" fillId="0" borderId="8" xfId="58" applyFont="1" applyBorder="1" applyProtection="1"/>
    <xf numFmtId="4" fontId="55" fillId="0" borderId="8" xfId="58" applyNumberFormat="1" applyFont="1" applyFill="1" applyBorder="1" applyProtection="1"/>
    <xf numFmtId="4" fontId="21" fillId="0" borderId="8" xfId="58" applyNumberFormat="1" applyFont="1" applyFill="1" applyBorder="1" applyProtection="1"/>
    <xf numFmtId="0" fontId="4" fillId="0" borderId="8" xfId="58" applyFont="1" applyBorder="1" applyAlignment="1" applyProtection="1">
      <alignment horizontal="right"/>
    </xf>
    <xf numFmtId="0" fontId="52" fillId="0" borderId="8" xfId="58" applyFont="1" applyFill="1" applyBorder="1" applyProtection="1"/>
    <xf numFmtId="0" fontId="4" fillId="0" borderId="8" xfId="58" applyFont="1" applyFill="1" applyBorder="1" applyAlignment="1" applyProtection="1">
      <alignment horizontal="right"/>
    </xf>
    <xf numFmtId="1" fontId="52" fillId="0" borderId="8" xfId="58" applyNumberFormat="1" applyFont="1" applyFill="1" applyBorder="1" applyProtection="1"/>
    <xf numFmtId="0" fontId="4" fillId="0" borderId="8" xfId="58" applyFont="1" applyBorder="1" applyProtection="1"/>
    <xf numFmtId="0" fontId="7" fillId="0" borderId="8" xfId="0" applyFont="1" applyBorder="1" applyAlignment="1">
      <alignment horizontal="left"/>
    </xf>
    <xf numFmtId="0" fontId="7" fillId="0" borderId="8" xfId="58" applyFont="1" applyFill="1" applyBorder="1" applyProtection="1"/>
    <xf numFmtId="0" fontId="21" fillId="0" borderId="8" xfId="0" applyFont="1" applyBorder="1" applyAlignment="1">
      <alignment horizontal="left" wrapText="1"/>
    </xf>
    <xf numFmtId="0" fontId="22" fillId="0" borderId="8" xfId="0" applyFont="1" applyBorder="1" applyAlignment="1">
      <alignment horizontal="center"/>
    </xf>
    <xf numFmtId="4" fontId="52" fillId="0" borderId="8" xfId="58" applyNumberFormat="1" applyFont="1" applyFill="1" applyBorder="1" applyProtection="1"/>
    <xf numFmtId="0" fontId="21" fillId="0" borderId="8" xfId="0" applyFont="1" applyFill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21" fillId="0" borderId="8" xfId="0" applyFont="1" applyBorder="1" applyAlignment="1">
      <alignment wrapText="1"/>
    </xf>
    <xf numFmtId="0" fontId="22" fillId="0" borderId="8" xfId="0" applyFont="1" applyFill="1" applyBorder="1" applyAlignment="1">
      <alignment horizontal="center"/>
    </xf>
    <xf numFmtId="2" fontId="55" fillId="0" borderId="8" xfId="58" applyNumberFormat="1" applyFont="1" applyFill="1" applyBorder="1" applyProtection="1"/>
    <xf numFmtId="2" fontId="21" fillId="0" borderId="8" xfId="58" applyNumberFormat="1" applyFont="1" applyFill="1" applyBorder="1" applyProtection="1"/>
    <xf numFmtId="0" fontId="52" fillId="0" borderId="0" xfId="58" applyFont="1" applyAlignment="1" applyProtection="1">
      <alignment horizontal="right"/>
    </xf>
    <xf numFmtId="0" fontId="17" fillId="0" borderId="0" xfId="58" applyFont="1" applyProtection="1"/>
    <xf numFmtId="0" fontId="54" fillId="0" borderId="8" xfId="40" applyFont="1" applyFill="1" applyBorder="1" applyAlignment="1" applyProtection="1">
      <alignment horizontal="center" vertical="center" wrapText="1"/>
    </xf>
    <xf numFmtId="0" fontId="46" fillId="0" borderId="0" xfId="58" applyFont="1" applyProtection="1"/>
    <xf numFmtId="165" fontId="7" fillId="0" borderId="8" xfId="58" applyNumberFormat="1" applyFont="1" applyFill="1" applyBorder="1" applyProtection="1"/>
    <xf numFmtId="4" fontId="7" fillId="0" borderId="8" xfId="58" applyNumberFormat="1" applyFont="1" applyFill="1" applyBorder="1" applyProtection="1"/>
    <xf numFmtId="167" fontId="77" fillId="0" borderId="8" xfId="58" applyNumberFormat="1" applyFont="1" applyFill="1" applyBorder="1" applyProtection="1"/>
    <xf numFmtId="0" fontId="21" fillId="0" borderId="8" xfId="58" applyFont="1" applyFill="1" applyBorder="1" applyAlignment="1" applyProtection="1">
      <alignment horizontal="center"/>
    </xf>
    <xf numFmtId="4" fontId="56" fillId="0" borderId="8" xfId="110" applyNumberFormat="1" applyFont="1" applyFill="1" applyBorder="1" applyAlignment="1" applyProtection="1">
      <alignment horizontal="right" vertical="center"/>
      <protection locked="0"/>
    </xf>
    <xf numFmtId="4" fontId="7" fillId="0" borderId="8" xfId="109" applyNumberFormat="1" applyFont="1" applyFill="1" applyBorder="1" applyProtection="1">
      <alignment horizontal="right"/>
      <protection locked="0"/>
    </xf>
    <xf numFmtId="0" fontId="56" fillId="0" borderId="0" xfId="67" applyFont="1"/>
    <xf numFmtId="0" fontId="56" fillId="0" borderId="8" xfId="67" applyFont="1" applyBorder="1" applyAlignment="1">
      <alignment horizontal="center" vertical="center" wrapText="1"/>
    </xf>
    <xf numFmtId="0" fontId="60" fillId="0" borderId="8" xfId="67" applyFont="1" applyBorder="1" applyAlignment="1">
      <alignment horizontal="center"/>
    </xf>
    <xf numFmtId="0" fontId="53" fillId="0" borderId="8" xfId="67" applyFont="1" applyBorder="1" applyAlignment="1">
      <alignment horizontal="center" wrapText="1"/>
    </xf>
    <xf numFmtId="0" fontId="56" fillId="0" borderId="8" xfId="67" applyFont="1" applyBorder="1"/>
    <xf numFmtId="0" fontId="56" fillId="0" borderId="8" xfId="67" applyFont="1" applyBorder="1" applyAlignment="1">
      <alignment horizontal="center"/>
    </xf>
    <xf numFmtId="0" fontId="66" fillId="0" borderId="8" xfId="67" applyFont="1" applyBorder="1"/>
    <xf numFmtId="0" fontId="56" fillId="0" borderId="8" xfId="67" applyFont="1" applyBorder="1" applyAlignment="1">
      <alignment horizontal="center" vertical="center"/>
    </xf>
    <xf numFmtId="0" fontId="56" fillId="0" borderId="8" xfId="67" applyNumberFormat="1" applyFont="1" applyBorder="1" applyAlignment="1">
      <alignment horizontal="center"/>
    </xf>
    <xf numFmtId="0" fontId="67" fillId="0" borderId="8" xfId="67" applyFont="1" applyBorder="1" applyAlignment="1">
      <alignment horizontal="center"/>
    </xf>
    <xf numFmtId="0" fontId="66" fillId="0" borderId="8" xfId="67" applyFont="1" applyBorder="1" applyAlignment="1">
      <alignment horizontal="center" vertical="center" wrapText="1"/>
    </xf>
    <xf numFmtId="2" fontId="7" fillId="0" borderId="8" xfId="67" applyNumberFormat="1" applyFont="1" applyBorder="1" applyAlignment="1">
      <alignment horizontal="center" vertical="center"/>
    </xf>
    <xf numFmtId="4" fontId="56" fillId="0" borderId="8" xfId="67" applyNumberFormat="1" applyFont="1" applyBorder="1" applyAlignment="1">
      <alignment horizontal="center"/>
    </xf>
    <xf numFmtId="4" fontId="7" fillId="0" borderId="8" xfId="67" applyNumberFormat="1" applyFont="1" applyBorder="1" applyAlignment="1">
      <alignment horizontal="center" vertical="center"/>
    </xf>
    <xf numFmtId="0" fontId="39" fillId="0" borderId="0" xfId="67"/>
    <xf numFmtId="0" fontId="56" fillId="0" borderId="8" xfId="67" applyNumberFormat="1" applyFont="1" applyBorder="1" applyAlignment="1">
      <alignment horizontal="center" vertical="center"/>
    </xf>
    <xf numFmtId="0" fontId="67" fillId="0" borderId="8" xfId="67" applyFont="1" applyBorder="1"/>
    <xf numFmtId="0" fontId="67" fillId="0" borderId="8" xfId="67" applyFont="1" applyBorder="1" applyAlignment="1">
      <alignment horizontal="left" vertical="center" wrapText="1"/>
    </xf>
    <xf numFmtId="0" fontId="53" fillId="0" borderId="8" xfId="67" applyFont="1" applyBorder="1" applyAlignment="1">
      <alignment horizontal="center"/>
    </xf>
    <xf numFmtId="0" fontId="67" fillId="0" borderId="8" xfId="67" applyFont="1" applyFill="1" applyBorder="1" applyAlignment="1">
      <alignment horizontal="center"/>
    </xf>
    <xf numFmtId="0" fontId="56" fillId="0" borderId="8" xfId="67" applyFont="1" applyFill="1" applyBorder="1" applyAlignment="1">
      <alignment horizontal="center"/>
    </xf>
    <xf numFmtId="3" fontId="56" fillId="0" borderId="8" xfId="67" applyNumberFormat="1" applyFont="1" applyFill="1" applyBorder="1" applyAlignment="1">
      <alignment horizontal="center"/>
    </xf>
    <xf numFmtId="0" fontId="56" fillId="0" borderId="23" xfId="67" applyFont="1" applyFill="1" applyBorder="1" applyAlignment="1">
      <alignment horizontal="center"/>
    </xf>
    <xf numFmtId="0" fontId="38" fillId="0" borderId="8" xfId="67" applyFont="1" applyFill="1" applyBorder="1" applyAlignment="1">
      <alignment horizontal="center" wrapText="1"/>
    </xf>
    <xf numFmtId="4" fontId="56" fillId="0" borderId="8" xfId="67" applyNumberFormat="1" applyFont="1" applyFill="1" applyBorder="1" applyAlignment="1">
      <alignment horizontal="center"/>
    </xf>
    <xf numFmtId="4" fontId="7" fillId="0" borderId="8" xfId="67" applyNumberFormat="1" applyFont="1" applyFill="1" applyBorder="1" applyAlignment="1">
      <alignment horizontal="center" vertical="center"/>
    </xf>
    <xf numFmtId="0" fontId="39" fillId="0" borderId="0" xfId="67" applyFill="1"/>
    <xf numFmtId="0" fontId="53" fillId="0" borderId="8" xfId="67" applyFont="1" applyBorder="1"/>
    <xf numFmtId="0" fontId="67" fillId="0" borderId="8" xfId="67" applyFont="1" applyBorder="1" applyAlignment="1">
      <alignment horizontal="center" vertical="center" wrapText="1"/>
    </xf>
    <xf numFmtId="0" fontId="67" fillId="0" borderId="8" xfId="67" applyFont="1" applyBorder="1" applyAlignment="1">
      <alignment wrapText="1"/>
    </xf>
    <xf numFmtId="4" fontId="56" fillId="0" borderId="8" xfId="67" applyNumberFormat="1" applyFont="1" applyBorder="1"/>
    <xf numFmtId="4" fontId="56" fillId="0" borderId="8" xfId="67" applyNumberFormat="1" applyFont="1" applyBorder="1" applyAlignment="1">
      <alignment horizontal="center" vertical="center"/>
    </xf>
    <xf numFmtId="0" fontId="56" fillId="0" borderId="8" xfId="67" applyFont="1" applyBorder="1" applyAlignment="1">
      <alignment vertical="center" wrapText="1"/>
    </xf>
    <xf numFmtId="0" fontId="56" fillId="0" borderId="8" xfId="67" applyNumberFormat="1" applyFont="1" applyBorder="1" applyAlignment="1">
      <alignment horizontal="center" wrapText="1"/>
    </xf>
    <xf numFmtId="2" fontId="56" fillId="0" borderId="8" xfId="67" applyNumberFormat="1" applyFont="1" applyBorder="1" applyAlignment="1">
      <alignment horizontal="center" vertical="center"/>
    </xf>
    <xf numFmtId="0" fontId="56" fillId="0" borderId="0" xfId="67" applyFont="1" applyBorder="1" applyAlignment="1">
      <alignment horizontal="center"/>
    </xf>
    <xf numFmtId="0" fontId="66" fillId="0" borderId="0" xfId="67" applyFont="1" applyBorder="1"/>
    <xf numFmtId="2" fontId="56" fillId="0" borderId="0" xfId="67" applyNumberFormat="1" applyFont="1" applyBorder="1" applyAlignment="1">
      <alignment horizontal="center" vertical="center"/>
    </xf>
    <xf numFmtId="0" fontId="56" fillId="0" borderId="0" xfId="67" applyNumberFormat="1" applyFont="1" applyBorder="1" applyAlignment="1">
      <alignment horizontal="center"/>
    </xf>
    <xf numFmtId="0" fontId="68" fillId="0" borderId="0" xfId="67" applyFont="1"/>
    <xf numFmtId="0" fontId="69" fillId="0" borderId="0" xfId="67" applyFont="1" applyBorder="1" applyAlignment="1">
      <alignment horizontal="center"/>
    </xf>
    <xf numFmtId="0" fontId="56" fillId="0" borderId="0" xfId="67" applyFont="1" applyAlignment="1">
      <alignment vertical="center" wrapText="1"/>
    </xf>
    <xf numFmtId="0" fontId="59" fillId="0" borderId="0" xfId="67" applyFont="1" applyAlignment="1">
      <alignment vertical="center" wrapText="1"/>
    </xf>
    <xf numFmtId="0" fontId="66" fillId="0" borderId="8" xfId="67" applyFont="1" applyBorder="1" applyAlignment="1">
      <alignment horizontal="center" vertical="center"/>
    </xf>
    <xf numFmtId="0" fontId="56" fillId="0" borderId="8" xfId="67" applyFont="1" applyBorder="1" applyAlignment="1">
      <alignment horizontal="left" vertical="center" wrapText="1"/>
    </xf>
    <xf numFmtId="0" fontId="56" fillId="0" borderId="24" xfId="67" applyFont="1" applyBorder="1" applyAlignment="1">
      <alignment horizontal="center" vertical="center" wrapText="1"/>
    </xf>
    <xf numFmtId="2" fontId="56" fillId="0" borderId="24" xfId="67" applyNumberFormat="1" applyFont="1" applyBorder="1" applyAlignment="1">
      <alignment horizontal="center" vertical="center" wrapText="1"/>
    </xf>
    <xf numFmtId="2" fontId="56" fillId="0" borderId="8" xfId="67" applyNumberFormat="1" applyFont="1" applyBorder="1" applyAlignment="1">
      <alignment horizontal="center" vertical="center" wrapText="1"/>
    </xf>
    <xf numFmtId="0" fontId="56" fillId="0" borderId="25" xfId="67" applyFont="1" applyBorder="1" applyAlignment="1">
      <alignment horizontal="center" vertical="center" wrapText="1"/>
    </xf>
    <xf numFmtId="0" fontId="70" fillId="0" borderId="8" xfId="67" applyFont="1" applyBorder="1"/>
    <xf numFmtId="0" fontId="70" fillId="0" borderId="8" xfId="67" applyFont="1" applyBorder="1" applyAlignment="1">
      <alignment wrapText="1"/>
    </xf>
    <xf numFmtId="0" fontId="70" fillId="0" borderId="0" xfId="67" applyFont="1"/>
    <xf numFmtId="0" fontId="56" fillId="0" borderId="24" xfId="67" applyFont="1" applyFill="1" applyBorder="1" applyAlignment="1">
      <alignment horizontal="center" vertical="center" wrapText="1"/>
    </xf>
    <xf numFmtId="166" fontId="56" fillId="0" borderId="8" xfId="67" applyNumberFormat="1" applyFont="1" applyFill="1" applyBorder="1" applyAlignment="1">
      <alignment horizontal="center" vertical="center" wrapText="1"/>
    </xf>
    <xf numFmtId="0" fontId="56" fillId="0" borderId="23" xfId="67" applyFont="1" applyBorder="1" applyAlignment="1">
      <alignment horizontal="left" vertical="center" wrapText="1"/>
    </xf>
    <xf numFmtId="1" fontId="56" fillId="0" borderId="24" xfId="67" applyNumberFormat="1" applyFont="1" applyBorder="1" applyAlignment="1">
      <alignment horizontal="center" vertical="center" wrapText="1"/>
    </xf>
    <xf numFmtId="14" fontId="56" fillId="0" borderId="23" xfId="67" applyNumberFormat="1" applyFont="1" applyBorder="1" applyAlignment="1">
      <alignment horizontal="center" vertical="center" wrapText="1"/>
    </xf>
    <xf numFmtId="0" fontId="56" fillId="0" borderId="26" xfId="67" applyFont="1" applyBorder="1" applyAlignment="1">
      <alignment horizontal="center" vertical="center"/>
    </xf>
    <xf numFmtId="2" fontId="56" fillId="0" borderId="8" xfId="67" applyNumberFormat="1" applyFont="1" applyFill="1" applyBorder="1" applyAlignment="1">
      <alignment horizontal="center"/>
    </xf>
    <xf numFmtId="0" fontId="56" fillId="0" borderId="27" xfId="67" applyFont="1" applyBorder="1" applyAlignment="1">
      <alignment horizontal="center" vertical="center"/>
    </xf>
    <xf numFmtId="2" fontId="56" fillId="0" borderId="27" xfId="67" applyNumberFormat="1" applyFont="1" applyFill="1" applyBorder="1" applyAlignment="1">
      <alignment horizontal="center"/>
    </xf>
    <xf numFmtId="0" fontId="56" fillId="0" borderId="27" xfId="67" applyFont="1" applyBorder="1" applyAlignment="1">
      <alignment horizontal="center"/>
    </xf>
    <xf numFmtId="0" fontId="17" fillId="0" borderId="28" xfId="0" applyFont="1" applyBorder="1"/>
    <xf numFmtId="0" fontId="17" fillId="0" borderId="8" xfId="0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0" fontId="17" fillId="0" borderId="19" xfId="0" applyNumberFormat="1" applyFont="1" applyBorder="1" applyAlignment="1">
      <alignment horizontal="center"/>
    </xf>
    <xf numFmtId="0" fontId="17" fillId="0" borderId="0" xfId="0" applyFont="1" applyBorder="1"/>
    <xf numFmtId="0" fontId="17" fillId="0" borderId="29" xfId="0" applyFont="1" applyBorder="1"/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7" xfId="0" applyFont="1" applyBorder="1"/>
    <xf numFmtId="0" fontId="17" fillId="0" borderId="31" xfId="0" applyFont="1" applyBorder="1" applyAlignment="1">
      <alignment horizontal="center"/>
    </xf>
    <xf numFmtId="0" fontId="17" fillId="0" borderId="32" xfId="0" applyFont="1" applyBorder="1"/>
    <xf numFmtId="0" fontId="17" fillId="0" borderId="24" xfId="0" applyFont="1" applyBorder="1" applyAlignment="1">
      <alignment horizontal="center"/>
    </xf>
    <xf numFmtId="49" fontId="17" fillId="0" borderId="33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/>
    </xf>
    <xf numFmtId="16" fontId="17" fillId="0" borderId="18" xfId="0" applyNumberFormat="1" applyFont="1" applyBorder="1" applyAlignment="1">
      <alignment horizontal="center"/>
    </xf>
    <xf numFmtId="0" fontId="56" fillId="0" borderId="25" xfId="67" applyFont="1" applyFill="1" applyBorder="1" applyAlignment="1">
      <alignment horizontal="center"/>
    </xf>
    <xf numFmtId="0" fontId="56" fillId="0" borderId="8" xfId="67" applyFont="1" applyFill="1" applyBorder="1" applyAlignment="1">
      <alignment horizontal="center" vertical="center" wrapText="1"/>
    </xf>
    <xf numFmtId="2" fontId="56" fillId="0" borderId="24" xfId="67" applyNumberFormat="1" applyFont="1" applyFill="1" applyBorder="1" applyAlignment="1">
      <alignment horizontal="center" vertical="center" wrapText="1"/>
    </xf>
    <xf numFmtId="0" fontId="66" fillId="0" borderId="8" xfId="67" applyFont="1" applyFill="1" applyBorder="1"/>
    <xf numFmtId="0" fontId="56" fillId="0" borderId="24" xfId="67" applyFont="1" applyFill="1" applyBorder="1" applyAlignment="1">
      <alignment horizontal="center"/>
    </xf>
    <xf numFmtId="0" fontId="66" fillId="0" borderId="8" xfId="67" applyFont="1" applyFill="1" applyBorder="1" applyAlignment="1">
      <alignment vertical="center" wrapText="1"/>
    </xf>
    <xf numFmtId="0" fontId="38" fillId="0" borderId="8" xfId="67" applyFont="1" applyFill="1" applyBorder="1" applyAlignment="1">
      <alignment horizontal="center" vertical="center" wrapText="1"/>
    </xf>
    <xf numFmtId="2" fontId="56" fillId="0" borderId="24" xfId="67" applyNumberFormat="1" applyFont="1" applyFill="1" applyBorder="1" applyAlignment="1">
      <alignment horizontal="center"/>
    </xf>
    <xf numFmtId="2" fontId="56" fillId="0" borderId="25" xfId="67" applyNumberFormat="1" applyFont="1" applyFill="1" applyBorder="1" applyAlignment="1">
      <alignment horizontal="center"/>
    </xf>
    <xf numFmtId="0" fontId="56" fillId="0" borderId="0" xfId="67" applyFont="1" applyFill="1" applyBorder="1" applyAlignment="1">
      <alignment horizontal="center"/>
    </xf>
    <xf numFmtId="0" fontId="66" fillId="0" borderId="0" xfId="67" applyFont="1" applyFill="1" applyBorder="1"/>
    <xf numFmtId="0" fontId="68" fillId="0" borderId="0" xfId="67" applyFont="1" applyFill="1"/>
    <xf numFmtId="0" fontId="77" fillId="0" borderId="8" xfId="67" applyFont="1" applyFill="1" applyBorder="1" applyAlignment="1">
      <alignment horizontal="center"/>
    </xf>
    <xf numFmtId="0" fontId="7" fillId="0" borderId="8" xfId="67" applyFont="1" applyBorder="1" applyAlignment="1">
      <alignment horizontal="center" vertical="center" wrapText="1"/>
    </xf>
    <xf numFmtId="0" fontId="7" fillId="0" borderId="23" xfId="67" applyFont="1" applyBorder="1" applyAlignment="1">
      <alignment horizontal="center" vertical="center" wrapText="1"/>
    </xf>
    <xf numFmtId="0" fontId="7" fillId="0" borderId="24" xfId="67" applyFont="1" applyBorder="1" applyAlignment="1">
      <alignment horizontal="center" vertical="center" wrapText="1"/>
    </xf>
    <xf numFmtId="1" fontId="56" fillId="0" borderId="8" xfId="67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52" fillId="0" borderId="8" xfId="58" applyFont="1" applyBorder="1" applyProtection="1"/>
    <xf numFmtId="0" fontId="55" fillId="0" borderId="0" xfId="58" applyFont="1" applyFill="1" applyAlignment="1" applyProtection="1">
      <alignment horizontal="center" wrapText="1"/>
    </xf>
    <xf numFmtId="0" fontId="52" fillId="0" borderId="0" xfId="58" applyFont="1" applyFill="1" applyAlignment="1" applyProtection="1">
      <alignment horizontal="center" wrapText="1"/>
    </xf>
    <xf numFmtId="0" fontId="6" fillId="0" borderId="8" xfId="58" applyFont="1" applyBorder="1" applyAlignment="1" applyProtection="1">
      <alignment horizontal="right"/>
    </xf>
    <xf numFmtId="174" fontId="56" fillId="0" borderId="8" xfId="110" applyNumberFormat="1" applyFont="1" applyFill="1" applyBorder="1" applyAlignment="1" applyProtection="1">
      <alignment horizontal="right" vertical="center"/>
    </xf>
    <xf numFmtId="4" fontId="52" fillId="0" borderId="8" xfId="58" applyNumberFormat="1" applyFont="1" applyBorder="1" applyProtection="1"/>
    <xf numFmtId="0" fontId="21" fillId="0" borderId="8" xfId="0" applyFont="1" applyBorder="1" applyAlignment="1">
      <alignment horizontal="left"/>
    </xf>
    <xf numFmtId="0" fontId="59" fillId="0" borderId="8" xfId="58" applyFont="1" applyFill="1" applyBorder="1" applyAlignment="1" applyProtection="1">
      <alignment vertical="top"/>
    </xf>
    <xf numFmtId="0" fontId="52" fillId="0" borderId="8" xfId="58" applyFont="1" applyBorder="1" applyAlignment="1" applyProtection="1">
      <alignment horizontal="left"/>
    </xf>
    <xf numFmtId="0" fontId="12" fillId="0" borderId="8" xfId="58" applyFont="1" applyBorder="1" applyAlignment="1" applyProtection="1">
      <alignment horizontal="center"/>
    </xf>
    <xf numFmtId="0" fontId="52" fillId="0" borderId="8" xfId="58" applyFont="1" applyBorder="1" applyAlignment="1" applyProtection="1">
      <alignment horizontal="center"/>
    </xf>
    <xf numFmtId="0" fontId="17" fillId="0" borderId="8" xfId="58" applyFont="1" applyBorder="1" applyAlignment="1" applyProtection="1">
      <alignment horizontal="center"/>
    </xf>
    <xf numFmtId="2" fontId="52" fillId="0" borderId="8" xfId="58" applyNumberFormat="1" applyFont="1" applyBorder="1" applyAlignment="1" applyProtection="1">
      <alignment horizontal="center"/>
    </xf>
    <xf numFmtId="167" fontId="46" fillId="0" borderId="0" xfId="58" applyNumberFormat="1" applyFont="1" applyBorder="1" applyProtection="1"/>
    <xf numFmtId="0" fontId="46" fillId="0" borderId="0" xfId="58" applyFont="1" applyAlignment="1" applyProtection="1">
      <alignment horizontal="center" vertical="center"/>
    </xf>
    <xf numFmtId="166" fontId="46" fillId="0" borderId="0" xfId="58" applyNumberFormat="1" applyFont="1" applyAlignment="1" applyProtection="1">
      <alignment horizontal="center" vertical="center"/>
    </xf>
    <xf numFmtId="9" fontId="52" fillId="0" borderId="0" xfId="58" applyNumberFormat="1" applyFont="1" applyProtection="1"/>
    <xf numFmtId="49" fontId="4" fillId="0" borderId="8" xfId="58" applyNumberFormat="1" applyFont="1" applyBorder="1" applyAlignment="1" applyProtection="1">
      <alignment horizontal="right"/>
    </xf>
    <xf numFmtId="4" fontId="55" fillId="0" borderId="0" xfId="58" applyNumberFormat="1" applyFont="1" applyFill="1" applyBorder="1" applyProtection="1"/>
    <xf numFmtId="2" fontId="7" fillId="0" borderId="8" xfId="58" applyNumberFormat="1" applyFont="1" applyFill="1" applyBorder="1" applyProtection="1"/>
    <xf numFmtId="0" fontId="52" fillId="0" borderId="0" xfId="58" applyFont="1" applyFill="1" applyProtection="1"/>
    <xf numFmtId="0" fontId="4" fillId="0" borderId="0" xfId="58" applyFont="1" applyAlignment="1" applyProtection="1"/>
    <xf numFmtId="49" fontId="4" fillId="0" borderId="15" xfId="0" applyNumberFormat="1" applyFont="1" applyFill="1" applyBorder="1" applyAlignment="1">
      <alignment horizontal="center" vertical="top"/>
    </xf>
    <xf numFmtId="165" fontId="54" fillId="0" borderId="8" xfId="40" applyNumberFormat="1" applyFont="1" applyFill="1" applyBorder="1" applyAlignment="1" applyProtection="1">
      <alignment horizontal="center" vertical="center" wrapText="1"/>
    </xf>
    <xf numFmtId="2" fontId="54" fillId="0" borderId="8" xfId="40" applyNumberFormat="1" applyFont="1" applyFill="1" applyBorder="1" applyAlignment="1" applyProtection="1">
      <alignment horizontal="center" vertical="center" wrapText="1"/>
    </xf>
    <xf numFmtId="0" fontId="52" fillId="0" borderId="0" xfId="58" applyFont="1" applyAlignment="1" applyProtection="1">
      <alignment horizontal="left" vertical="top"/>
    </xf>
    <xf numFmtId="0" fontId="17" fillId="0" borderId="15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65" fontId="4" fillId="0" borderId="8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165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top"/>
    </xf>
    <xf numFmtId="167" fontId="4" fillId="0" borderId="8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/>
    </xf>
    <xf numFmtId="0" fontId="4" fillId="0" borderId="20" xfId="0" applyFont="1" applyFill="1" applyBorder="1"/>
    <xf numFmtId="0" fontId="4" fillId="0" borderId="36" xfId="0" applyFont="1" applyFill="1" applyBorder="1"/>
    <xf numFmtId="0" fontId="4" fillId="0" borderId="22" xfId="0" applyFont="1" applyFill="1" applyBorder="1"/>
    <xf numFmtId="0" fontId="4" fillId="0" borderId="37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38" xfId="0" applyFont="1" applyFill="1" applyBorder="1"/>
    <xf numFmtId="0" fontId="4" fillId="0" borderId="21" xfId="0" applyFont="1" applyFill="1" applyBorder="1"/>
    <xf numFmtId="0" fontId="4" fillId="0" borderId="37" xfId="0" applyFont="1" applyFill="1" applyBorder="1"/>
    <xf numFmtId="0" fontId="4" fillId="0" borderId="35" xfId="0" applyFont="1" applyFill="1" applyBorder="1"/>
    <xf numFmtId="2" fontId="4" fillId="0" borderId="8" xfId="0" applyNumberFormat="1" applyFont="1" applyFill="1" applyBorder="1" applyAlignment="1">
      <alignment horizontal="center" vertical="top"/>
    </xf>
    <xf numFmtId="165" fontId="4" fillId="0" borderId="8" xfId="90" applyNumberFormat="1" applyFont="1" applyFill="1" applyBorder="1" applyAlignment="1">
      <alignment horizontal="center"/>
    </xf>
    <xf numFmtId="10" fontId="4" fillId="0" borderId="8" xfId="90" applyNumberFormat="1" applyFont="1" applyFill="1" applyBorder="1" applyAlignment="1">
      <alignment horizontal="center"/>
    </xf>
    <xf numFmtId="2" fontId="80" fillId="0" borderId="8" xfId="0" applyNumberFormat="1" applyFont="1" applyFill="1" applyBorder="1" applyAlignment="1">
      <alignment horizontal="center" vertical="top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49" fontId="7" fillId="0" borderId="15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/>
    </xf>
    <xf numFmtId="2" fontId="21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10" fontId="7" fillId="0" borderId="8" xfId="90" applyNumberFormat="1" applyFont="1" applyFill="1" applyBorder="1" applyAlignment="1">
      <alignment horizontal="center"/>
    </xf>
    <xf numFmtId="2" fontId="21" fillId="0" borderId="24" xfId="0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/>
    </xf>
    <xf numFmtId="2" fontId="7" fillId="0" borderId="2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8" xfId="0" applyFont="1" applyFill="1" applyBorder="1"/>
    <xf numFmtId="49" fontId="7" fillId="0" borderId="8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8" xfId="0" applyFont="1" applyFill="1" applyBorder="1" applyAlignment="1">
      <alignment wrapText="1"/>
    </xf>
    <xf numFmtId="0" fontId="7" fillId="0" borderId="37" xfId="0" applyFont="1" applyFill="1" applyBorder="1"/>
    <xf numFmtId="2" fontId="7" fillId="0" borderId="8" xfId="0" applyNumberFormat="1" applyFont="1" applyFill="1" applyBorder="1"/>
    <xf numFmtId="49" fontId="7" fillId="0" borderId="40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horizontal="left"/>
    </xf>
    <xf numFmtId="2" fontId="7" fillId="0" borderId="25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left" wrapText="1"/>
    </xf>
    <xf numFmtId="0" fontId="7" fillId="26" borderId="0" xfId="0" applyFont="1" applyFill="1"/>
    <xf numFmtId="0" fontId="7" fillId="26" borderId="0" xfId="0" applyFont="1" applyFill="1" applyAlignment="1">
      <alignment horizontal="right"/>
    </xf>
    <xf numFmtId="0" fontId="7" fillId="26" borderId="0" xfId="0" applyFont="1" applyFill="1" applyAlignment="1">
      <alignment horizontal="right" vertical="top"/>
    </xf>
    <xf numFmtId="0" fontId="7" fillId="26" borderId="15" xfId="0" applyFont="1" applyFill="1" applyBorder="1" applyAlignment="1">
      <alignment horizontal="center"/>
    </xf>
    <xf numFmtId="0" fontId="7" fillId="30" borderId="15" xfId="0" applyFont="1" applyFill="1" applyBorder="1" applyAlignment="1">
      <alignment horizontal="center"/>
    </xf>
    <xf numFmtId="49" fontId="7" fillId="26" borderId="15" xfId="0" applyNumberFormat="1" applyFont="1" applyFill="1" applyBorder="1" applyAlignment="1">
      <alignment horizontal="center" vertical="top"/>
    </xf>
    <xf numFmtId="0" fontId="7" fillId="26" borderId="16" xfId="0" applyFont="1" applyFill="1" applyBorder="1" applyAlignment="1">
      <alignment horizontal="left"/>
    </xf>
    <xf numFmtId="0" fontId="7" fillId="26" borderId="17" xfId="0" applyFont="1" applyFill="1" applyBorder="1" applyAlignment="1">
      <alignment horizontal="left" wrapText="1"/>
    </xf>
    <xf numFmtId="0" fontId="7" fillId="26" borderId="18" xfId="0" applyFont="1" applyFill="1" applyBorder="1" applyAlignment="1">
      <alignment horizontal="left"/>
    </xf>
    <xf numFmtId="166" fontId="21" fillId="26" borderId="15" xfId="0" applyNumberFormat="1" applyFont="1" applyFill="1" applyBorder="1" applyAlignment="1">
      <alignment horizontal="center"/>
    </xf>
    <xf numFmtId="166" fontId="7" fillId="26" borderId="15" xfId="0" applyNumberFormat="1" applyFont="1" applyFill="1" applyBorder="1" applyAlignment="1">
      <alignment horizontal="center"/>
    </xf>
    <xf numFmtId="166" fontId="21" fillId="30" borderId="15" xfId="0" applyNumberFormat="1" applyFont="1" applyFill="1" applyBorder="1" applyAlignment="1">
      <alignment horizontal="center"/>
    </xf>
    <xf numFmtId="166" fontId="7" fillId="30" borderId="15" xfId="0" applyNumberFormat="1" applyFont="1" applyFill="1" applyBorder="1" applyAlignment="1">
      <alignment horizontal="center"/>
    </xf>
    <xf numFmtId="49" fontId="7" fillId="26" borderId="15" xfId="0" applyNumberFormat="1" applyFont="1" applyFill="1" applyBorder="1" applyAlignment="1">
      <alignment horizontal="center"/>
    </xf>
    <xf numFmtId="0" fontId="7" fillId="26" borderId="28" xfId="0" applyFont="1" applyFill="1" applyBorder="1" applyAlignment="1">
      <alignment horizontal="left" wrapText="1"/>
    </xf>
    <xf numFmtId="0" fontId="7" fillId="26" borderId="0" xfId="0" applyFont="1" applyFill="1" applyBorder="1" applyAlignment="1">
      <alignment horizontal="left" wrapText="1"/>
    </xf>
    <xf numFmtId="0" fontId="7" fillId="26" borderId="18" xfId="0" applyFont="1" applyFill="1" applyBorder="1" applyAlignment="1">
      <alignment horizontal="left" wrapText="1"/>
    </xf>
    <xf numFmtId="2" fontId="21" fillId="26" borderId="15" xfId="0" applyNumberFormat="1" applyFont="1" applyFill="1" applyBorder="1" applyAlignment="1">
      <alignment horizontal="center"/>
    </xf>
    <xf numFmtId="2" fontId="7" fillId="26" borderId="15" xfId="0" applyNumberFormat="1" applyFont="1" applyFill="1" applyBorder="1" applyAlignment="1">
      <alignment horizontal="center"/>
    </xf>
    <xf numFmtId="49" fontId="7" fillId="30" borderId="15" xfId="0" applyNumberFormat="1" applyFont="1" applyFill="1" applyBorder="1" applyAlignment="1">
      <alignment horizontal="center"/>
    </xf>
    <xf numFmtId="0" fontId="7" fillId="30" borderId="16" xfId="0" applyFont="1" applyFill="1" applyBorder="1" applyAlignment="1">
      <alignment horizontal="left"/>
    </xf>
    <xf numFmtId="0" fontId="7" fillId="30" borderId="18" xfId="0" applyFont="1" applyFill="1" applyBorder="1" applyAlignment="1">
      <alignment horizontal="left" wrapText="1"/>
    </xf>
    <xf numFmtId="2" fontId="21" fillId="30" borderId="15" xfId="0" applyNumberFormat="1" applyFont="1" applyFill="1" applyBorder="1" applyAlignment="1">
      <alignment horizontal="center"/>
    </xf>
    <xf numFmtId="2" fontId="7" fillId="30" borderId="15" xfId="0" applyNumberFormat="1" applyFont="1" applyFill="1" applyBorder="1" applyAlignment="1">
      <alignment horizontal="center"/>
    </xf>
    <xf numFmtId="0" fontId="11" fillId="26" borderId="0" xfId="83" applyFont="1" applyFill="1" applyProtection="1"/>
    <xf numFmtId="0" fontId="11" fillId="26" borderId="0" xfId="0" applyFont="1" applyFill="1" applyProtection="1"/>
    <xf numFmtId="0" fontId="11" fillId="26" borderId="0" xfId="0" applyFont="1" applyFill="1" applyAlignment="1" applyProtection="1">
      <alignment horizontal="center" vertical="top"/>
    </xf>
    <xf numFmtId="0" fontId="11" fillId="26" borderId="0" xfId="82" applyFont="1" applyFill="1" applyProtection="1"/>
    <xf numFmtId="0" fontId="11" fillId="26" borderId="0" xfId="82" applyFont="1" applyFill="1" applyAlignment="1" applyProtection="1">
      <alignment horizontal="center"/>
    </xf>
    <xf numFmtId="0" fontId="12" fillId="26" borderId="0" xfId="82" applyFont="1" applyFill="1" applyProtection="1"/>
    <xf numFmtId="0" fontId="12" fillId="31" borderId="41" xfId="82" applyFont="1" applyFill="1" applyBorder="1" applyProtection="1"/>
    <xf numFmtId="0" fontId="12" fillId="31" borderId="38" xfId="82" applyFont="1" applyFill="1" applyBorder="1" applyProtection="1"/>
    <xf numFmtId="0" fontId="12" fillId="26" borderId="42" xfId="82" applyFont="1" applyFill="1" applyBorder="1" applyProtection="1"/>
    <xf numFmtId="0" fontId="13" fillId="31" borderId="0" xfId="79" applyFont="1" applyFill="1" applyBorder="1" applyAlignment="1" applyProtection="1">
      <alignment horizontal="center" vertical="center" wrapText="1"/>
    </xf>
    <xf numFmtId="0" fontId="13" fillId="26" borderId="43" xfId="79" applyFont="1" applyFill="1" applyBorder="1" applyAlignment="1" applyProtection="1">
      <alignment horizontal="center" vertical="center"/>
    </xf>
    <xf numFmtId="0" fontId="13" fillId="26" borderId="44" xfId="79" applyFont="1" applyFill="1" applyBorder="1" applyAlignment="1" applyProtection="1">
      <alignment horizontal="center" vertical="center"/>
    </xf>
    <xf numFmtId="0" fontId="13" fillId="26" borderId="44" xfId="79" applyFont="1" applyFill="1" applyBorder="1" applyAlignment="1" applyProtection="1">
      <alignment horizontal="center" vertical="center" wrapText="1"/>
    </xf>
    <xf numFmtId="0" fontId="13" fillId="26" borderId="45" xfId="79" applyFont="1" applyFill="1" applyBorder="1" applyAlignment="1" applyProtection="1">
      <alignment horizontal="center" vertical="center" wrapText="1"/>
    </xf>
    <xf numFmtId="0" fontId="13" fillId="26" borderId="46" xfId="79" applyFont="1" applyFill="1" applyBorder="1" applyAlignment="1" applyProtection="1">
      <alignment horizontal="center" vertical="center" wrapText="1"/>
    </xf>
    <xf numFmtId="0" fontId="12" fillId="26" borderId="47" xfId="79" applyFont="1" applyFill="1" applyBorder="1" applyAlignment="1" applyProtection="1">
      <alignment horizontal="center"/>
    </xf>
    <xf numFmtId="0" fontId="12" fillId="26" borderId="15" xfId="79" applyFont="1" applyFill="1" applyBorder="1" applyAlignment="1" applyProtection="1">
      <alignment horizontal="center"/>
    </xf>
    <xf numFmtId="0" fontId="12" fillId="26" borderId="16" xfId="79" applyFont="1" applyFill="1" applyBorder="1" applyAlignment="1" applyProtection="1">
      <alignment horizontal="center"/>
    </xf>
    <xf numFmtId="0" fontId="12" fillId="31" borderId="48" xfId="82" applyFont="1" applyFill="1" applyBorder="1" applyProtection="1"/>
    <xf numFmtId="0" fontId="12" fillId="26" borderId="47" xfId="79" applyFont="1" applyFill="1" applyBorder="1" applyAlignment="1" applyProtection="1">
      <alignment vertical="center"/>
    </xf>
    <xf numFmtId="0" fontId="12" fillId="26" borderId="15" xfId="79" applyFont="1" applyFill="1" applyBorder="1" applyAlignment="1" applyProtection="1">
      <alignment horizontal="left" vertical="center" wrapText="1"/>
    </xf>
    <xf numFmtId="2" fontId="12" fillId="31" borderId="15" xfId="79" applyNumberFormat="1" applyFont="1" applyFill="1" applyBorder="1" applyAlignment="1" applyProtection="1">
      <protection locked="0"/>
    </xf>
    <xf numFmtId="2" fontId="12" fillId="26" borderId="34" xfId="80" applyNumberFormat="1" applyFont="1" applyFill="1" applyBorder="1" applyAlignment="1" applyProtection="1">
      <protection locked="0"/>
    </xf>
    <xf numFmtId="0" fontId="12" fillId="26" borderId="15" xfId="79" applyFont="1" applyFill="1" applyBorder="1" applyAlignment="1" applyProtection="1">
      <alignment vertical="center" wrapText="1"/>
    </xf>
    <xf numFmtId="2" fontId="12" fillId="26" borderId="15" xfId="79" applyNumberFormat="1" applyFont="1" applyFill="1" applyBorder="1" applyAlignment="1" applyProtection="1"/>
    <xf numFmtId="2" fontId="12" fillId="26" borderId="34" xfId="80" applyNumberFormat="1" applyFont="1" applyFill="1" applyBorder="1" applyAlignment="1" applyProtection="1"/>
    <xf numFmtId="16" fontId="12" fillId="26" borderId="47" xfId="79" applyNumberFormat="1" applyFont="1" applyFill="1" applyBorder="1" applyAlignment="1" applyProtection="1">
      <alignment vertical="center"/>
    </xf>
    <xf numFmtId="0" fontId="12" fillId="26" borderId="15" xfId="79" applyFont="1" applyFill="1" applyBorder="1" applyAlignment="1" applyProtection="1">
      <alignment wrapText="1"/>
    </xf>
    <xf numFmtId="2" fontId="12" fillId="30" borderId="15" xfId="79" applyNumberFormat="1" applyFont="1" applyFill="1" applyBorder="1" applyAlignment="1" applyProtection="1"/>
    <xf numFmtId="0" fontId="12" fillId="26" borderId="15" xfId="79" applyFont="1" applyFill="1" applyBorder="1" applyAlignment="1" applyProtection="1">
      <alignment vertical="center"/>
    </xf>
    <xf numFmtId="0" fontId="14" fillId="26" borderId="0" xfId="82" applyFont="1" applyFill="1" applyProtection="1"/>
    <xf numFmtId="0" fontId="13" fillId="31" borderId="41" xfId="82" applyFont="1" applyFill="1" applyBorder="1" applyProtection="1"/>
    <xf numFmtId="0" fontId="12" fillId="26" borderId="47" xfId="79" applyFont="1" applyFill="1" applyBorder="1" applyAlignment="1" applyProtection="1">
      <alignment horizontal="left" vertical="center"/>
    </xf>
    <xf numFmtId="0" fontId="13" fillId="31" borderId="48" xfId="82" applyFont="1" applyFill="1" applyBorder="1" applyProtection="1"/>
    <xf numFmtId="0" fontId="13" fillId="26" borderId="42" xfId="82" applyFont="1" applyFill="1" applyBorder="1" applyProtection="1"/>
    <xf numFmtId="0" fontId="13" fillId="26" borderId="0" xfId="82" applyFont="1" applyFill="1" applyProtection="1"/>
    <xf numFmtId="0" fontId="12" fillId="26" borderId="49" xfId="79" applyFont="1" applyFill="1" applyBorder="1" applyAlignment="1" applyProtection="1">
      <alignment horizontal="center"/>
    </xf>
    <xf numFmtId="2" fontId="12" fillId="30" borderId="49" xfId="79" applyNumberFormat="1" applyFont="1" applyFill="1" applyBorder="1" applyAlignment="1" applyProtection="1"/>
    <xf numFmtId="2" fontId="12" fillId="26" borderId="50" xfId="80" applyNumberFormat="1" applyFont="1" applyFill="1" applyBorder="1" applyAlignment="1" applyProtection="1"/>
    <xf numFmtId="0" fontId="12" fillId="31" borderId="51" xfId="82" applyFont="1" applyFill="1" applyBorder="1" applyProtection="1"/>
    <xf numFmtId="0" fontId="12" fillId="31" borderId="52" xfId="82" applyFont="1" applyFill="1" applyBorder="1" applyProtection="1"/>
    <xf numFmtId="0" fontId="12" fillId="31" borderId="32" xfId="82" applyFont="1" applyFill="1" applyBorder="1" applyProtection="1"/>
    <xf numFmtId="0" fontId="12" fillId="31" borderId="32" xfId="82" applyFont="1" applyFill="1" applyBorder="1" applyAlignment="1" applyProtection="1">
      <alignment horizontal="center"/>
    </xf>
    <xf numFmtId="0" fontId="12" fillId="31" borderId="53" xfId="82" applyFont="1" applyFill="1" applyBorder="1" applyProtection="1"/>
    <xf numFmtId="0" fontId="12" fillId="26" borderId="54" xfId="82" applyFont="1" applyFill="1" applyBorder="1" applyProtection="1"/>
    <xf numFmtId="0" fontId="12" fillId="26" borderId="0" xfId="82" applyFont="1" applyFill="1" applyAlignment="1" applyProtection="1">
      <alignment horizontal="center"/>
    </xf>
    <xf numFmtId="0" fontId="11" fillId="32" borderId="0" xfId="0" applyFont="1" applyFill="1" applyAlignment="1" applyProtection="1">
      <alignment horizontal="center" vertical="top"/>
    </xf>
    <xf numFmtId="0" fontId="12" fillId="31" borderId="39" xfId="82" applyFont="1" applyFill="1" applyBorder="1" applyProtection="1"/>
    <xf numFmtId="0" fontId="12" fillId="31" borderId="39" xfId="82" applyFont="1" applyFill="1" applyBorder="1" applyAlignment="1" applyProtection="1">
      <alignment horizontal="center"/>
    </xf>
    <xf numFmtId="0" fontId="12" fillId="31" borderId="39" xfId="83" applyFont="1" applyFill="1" applyBorder="1" applyAlignment="1" applyProtection="1">
      <alignment horizontal="right"/>
    </xf>
    <xf numFmtId="0" fontId="12" fillId="31" borderId="36" xfId="81" applyFont="1" applyFill="1" applyBorder="1" applyAlignment="1" applyProtection="1">
      <alignment horizontal="right"/>
    </xf>
    <xf numFmtId="0" fontId="12" fillId="31" borderId="22" xfId="82" applyFont="1" applyFill="1" applyBorder="1" applyProtection="1"/>
    <xf numFmtId="0" fontId="13" fillId="26" borderId="14" xfId="79" applyFont="1" applyFill="1" applyBorder="1" applyAlignment="1" applyProtection="1">
      <alignment horizontal="center" vertical="center"/>
    </xf>
    <xf numFmtId="0" fontId="13" fillId="26" borderId="55" xfId="79" applyFont="1" applyFill="1" applyBorder="1" applyAlignment="1" applyProtection="1">
      <alignment horizontal="center" vertical="center"/>
    </xf>
    <xf numFmtId="0" fontId="13" fillId="26" borderId="55" xfId="79" applyFont="1" applyFill="1" applyBorder="1" applyAlignment="1" applyProtection="1">
      <alignment horizontal="center" vertical="center" wrapText="1"/>
    </xf>
    <xf numFmtId="0" fontId="12" fillId="26" borderId="56" xfId="79" applyFont="1" applyFill="1" applyBorder="1" applyAlignment="1" applyProtection="1">
      <alignment horizontal="center"/>
    </xf>
    <xf numFmtId="0" fontId="12" fillId="26" borderId="8" xfId="79" applyFont="1" applyFill="1" applyBorder="1" applyAlignment="1" applyProtection="1">
      <alignment horizontal="center"/>
    </xf>
    <xf numFmtId="0" fontId="12" fillId="26" borderId="56" xfId="79" applyFont="1" applyFill="1" applyBorder="1" applyAlignment="1" applyProtection="1">
      <alignment vertical="center"/>
    </xf>
    <xf numFmtId="0" fontId="12" fillId="26" borderId="8" xfId="79" applyFont="1" applyFill="1" applyBorder="1" applyAlignment="1" applyProtection="1">
      <alignment horizontal="left" wrapText="1"/>
    </xf>
    <xf numFmtId="2" fontId="12" fillId="31" borderId="8" xfId="79" applyNumberFormat="1" applyFont="1" applyFill="1" applyBorder="1" applyAlignment="1" applyProtection="1">
      <protection locked="0"/>
    </xf>
    <xf numFmtId="2" fontId="12" fillId="26" borderId="8" xfId="80" applyNumberFormat="1" applyFont="1" applyFill="1" applyBorder="1" applyAlignment="1" applyProtection="1">
      <protection locked="0"/>
    </xf>
    <xf numFmtId="0" fontId="12" fillId="26" borderId="8" xfId="79" applyFont="1" applyFill="1" applyBorder="1" applyAlignment="1" applyProtection="1">
      <alignment wrapText="1"/>
    </xf>
    <xf numFmtId="2" fontId="12" fillId="26" borderId="8" xfId="79" applyNumberFormat="1" applyFont="1" applyFill="1" applyBorder="1" applyAlignment="1" applyProtection="1"/>
    <xf numFmtId="2" fontId="12" fillId="26" borderId="8" xfId="80" applyNumberFormat="1" applyFont="1" applyFill="1" applyBorder="1" applyAlignment="1" applyProtection="1"/>
    <xf numFmtId="16" fontId="12" fillId="26" borderId="56" xfId="79" applyNumberFormat="1" applyFont="1" applyFill="1" applyBorder="1" applyAlignment="1" applyProtection="1">
      <alignment vertical="center"/>
    </xf>
    <xf numFmtId="2" fontId="12" fillId="30" borderId="8" xfId="79" applyNumberFormat="1" applyFont="1" applyFill="1" applyBorder="1" applyAlignment="1" applyProtection="1"/>
    <xf numFmtId="0" fontId="12" fillId="26" borderId="8" xfId="79" applyFont="1" applyFill="1" applyBorder="1" applyProtection="1"/>
    <xf numFmtId="0" fontId="13" fillId="31" borderId="22" xfId="82" applyFont="1" applyFill="1" applyBorder="1" applyProtection="1"/>
    <xf numFmtId="0" fontId="12" fillId="26" borderId="56" xfId="79" applyFont="1" applyFill="1" applyBorder="1" applyAlignment="1" applyProtection="1">
      <alignment horizontal="left" vertical="center"/>
    </xf>
    <xf numFmtId="0" fontId="12" fillId="26" borderId="57" xfId="79" applyFont="1" applyFill="1" applyBorder="1" applyAlignment="1" applyProtection="1">
      <alignment horizontal="center"/>
    </xf>
    <xf numFmtId="2" fontId="12" fillId="30" borderId="57" xfId="79" applyNumberFormat="1" applyFont="1" applyFill="1" applyBorder="1" applyAlignment="1" applyProtection="1"/>
    <xf numFmtId="2" fontId="12" fillId="26" borderId="57" xfId="80" applyNumberFormat="1" applyFont="1" applyFill="1" applyBorder="1" applyAlignment="1" applyProtection="1"/>
    <xf numFmtId="0" fontId="12" fillId="31" borderId="21" xfId="82" applyFont="1" applyFill="1" applyBorder="1" applyProtection="1"/>
    <xf numFmtId="0" fontId="12" fillId="31" borderId="37" xfId="82" applyFont="1" applyFill="1" applyBorder="1" applyProtection="1"/>
    <xf numFmtId="0" fontId="12" fillId="31" borderId="37" xfId="82" applyFont="1" applyFill="1" applyBorder="1" applyAlignment="1" applyProtection="1">
      <alignment horizontal="center"/>
    </xf>
    <xf numFmtId="0" fontId="12" fillId="31" borderId="35" xfId="82" applyFont="1" applyFill="1" applyBorder="1" applyProtection="1"/>
    <xf numFmtId="0" fontId="12" fillId="26" borderId="56" xfId="79" applyFont="1" applyFill="1" applyBorder="1" applyAlignment="1" applyProtection="1">
      <alignment horizontal="center" vertical="center"/>
    </xf>
    <xf numFmtId="16" fontId="12" fillId="26" borderId="56" xfId="79" applyNumberFormat="1" applyFont="1" applyFill="1" applyBorder="1" applyAlignment="1" applyProtection="1">
      <alignment horizontal="center" vertical="center"/>
    </xf>
    <xf numFmtId="165" fontId="13" fillId="26" borderId="0" xfId="82" applyNumberFormat="1" applyFont="1" applyFill="1" applyProtection="1"/>
    <xf numFmtId="0" fontId="45" fillId="26" borderId="0" xfId="47" applyFill="1" applyBorder="1"/>
    <xf numFmtId="0" fontId="75" fillId="26" borderId="0" xfId="47" applyFont="1" applyFill="1" applyBorder="1" applyAlignment="1">
      <alignment horizontal="center"/>
    </xf>
    <xf numFmtId="0" fontId="45" fillId="26" borderId="0" xfId="47" applyFill="1"/>
    <xf numFmtId="0" fontId="72" fillId="26" borderId="0" xfId="47" applyFont="1" applyFill="1" applyBorder="1" applyAlignment="1">
      <alignment horizontal="left" indent="2"/>
    </xf>
    <xf numFmtId="0" fontId="45" fillId="26" borderId="0" xfId="47" applyFill="1" applyBorder="1" applyAlignment="1">
      <alignment horizontal="center"/>
    </xf>
    <xf numFmtId="0" fontId="71" fillId="26" borderId="14" xfId="47" applyFont="1" applyFill="1" applyBorder="1"/>
    <xf numFmtId="0" fontId="45" fillId="26" borderId="55" xfId="47" applyFill="1" applyBorder="1"/>
    <xf numFmtId="0" fontId="75" fillId="26" borderId="55" xfId="47" applyFont="1" applyFill="1" applyBorder="1" applyAlignment="1">
      <alignment horizontal="center"/>
    </xf>
    <xf numFmtId="0" fontId="75" fillId="26" borderId="58" xfId="47" applyFont="1" applyFill="1" applyBorder="1" applyAlignment="1">
      <alignment horizontal="center"/>
    </xf>
    <xf numFmtId="0" fontId="45" fillId="26" borderId="59" xfId="47" applyFill="1" applyBorder="1"/>
    <xf numFmtId="0" fontId="72" fillId="26" borderId="56" xfId="47" applyFont="1" applyFill="1" applyBorder="1" applyAlignment="1">
      <alignment horizontal="left" indent="2"/>
    </xf>
    <xf numFmtId="0" fontId="45" fillId="26" borderId="8" xfId="47" applyFill="1" applyBorder="1"/>
    <xf numFmtId="0" fontId="45" fillId="26" borderId="8" xfId="47" applyFill="1" applyBorder="1" applyAlignment="1">
      <alignment horizontal="center"/>
    </xf>
    <xf numFmtId="0" fontId="45" fillId="26" borderId="34" xfId="47" applyFill="1" applyBorder="1" applyAlignment="1">
      <alignment horizontal="center"/>
    </xf>
    <xf numFmtId="0" fontId="45" fillId="26" borderId="60" xfId="47" applyFill="1" applyBorder="1"/>
    <xf numFmtId="0" fontId="73" fillId="26" borderId="56" xfId="47" applyFont="1" applyFill="1" applyBorder="1" applyAlignment="1">
      <alignment horizontal="left" indent="4"/>
    </xf>
    <xf numFmtId="0" fontId="45" fillId="26" borderId="8" xfId="47" applyFill="1" applyBorder="1" applyAlignment="1">
      <alignment horizontal="center" vertical="top" wrapText="1"/>
    </xf>
    <xf numFmtId="0" fontId="45" fillId="26" borderId="56" xfId="47" applyFill="1" applyBorder="1"/>
    <xf numFmtId="4" fontId="45" fillId="26" borderId="8" xfId="47" applyNumberFormat="1" applyFill="1" applyBorder="1" applyAlignment="1">
      <alignment horizontal="center" wrapText="1"/>
    </xf>
    <xf numFmtId="4" fontId="45" fillId="26" borderId="8" xfId="47" applyNumberFormat="1" applyFill="1" applyBorder="1" applyAlignment="1">
      <alignment horizontal="center"/>
    </xf>
    <xf numFmtId="0" fontId="45" fillId="26" borderId="34" xfId="47" applyFill="1" applyBorder="1"/>
    <xf numFmtId="0" fontId="45" fillId="26" borderId="24" xfId="47" applyFill="1" applyBorder="1"/>
    <xf numFmtId="0" fontId="45" fillId="26" borderId="13" xfId="47" applyFill="1" applyBorder="1"/>
    <xf numFmtId="0" fontId="74" fillId="26" borderId="61" xfId="47" applyFont="1" applyFill="1" applyBorder="1"/>
    <xf numFmtId="0" fontId="45" fillId="26" borderId="62" xfId="47" applyFill="1" applyBorder="1"/>
    <xf numFmtId="0" fontId="45" fillId="26" borderId="63" xfId="47" applyFill="1" applyBorder="1"/>
    <xf numFmtId="0" fontId="45" fillId="26" borderId="64" xfId="47" applyFill="1" applyBorder="1"/>
    <xf numFmtId="0" fontId="45" fillId="26" borderId="65" xfId="47" applyFill="1" applyBorder="1"/>
    <xf numFmtId="0" fontId="45" fillId="26" borderId="66" xfId="47" applyFill="1" applyBorder="1"/>
    <xf numFmtId="0" fontId="45" fillId="26" borderId="57" xfId="47" applyFill="1" applyBorder="1"/>
    <xf numFmtId="0" fontId="45" fillId="26" borderId="61" xfId="47" applyFill="1" applyBorder="1"/>
    <xf numFmtId="0" fontId="45" fillId="26" borderId="67" xfId="47" applyFill="1" applyBorder="1"/>
    <xf numFmtId="0" fontId="45" fillId="26" borderId="68" xfId="47" applyFill="1" applyBorder="1"/>
    <xf numFmtId="0" fontId="45" fillId="26" borderId="69" xfId="47" applyFill="1" applyBorder="1"/>
    <xf numFmtId="0" fontId="45" fillId="26" borderId="70" xfId="47" applyFill="1" applyBorder="1"/>
    <xf numFmtId="0" fontId="45" fillId="26" borderId="71" xfId="47" applyFill="1" applyBorder="1"/>
    <xf numFmtId="0" fontId="45" fillId="26" borderId="72" xfId="47" applyFill="1" applyBorder="1" applyAlignment="1">
      <alignment horizontal="center" vertical="center"/>
    </xf>
    <xf numFmtId="0" fontId="76" fillId="26" borderId="73" xfId="47" applyFont="1" applyFill="1" applyBorder="1"/>
    <xf numFmtId="0" fontId="45" fillId="26" borderId="74" xfId="47" applyFill="1" applyBorder="1"/>
    <xf numFmtId="0" fontId="74" fillId="26" borderId="75" xfId="47" applyFont="1" applyFill="1" applyBorder="1"/>
    <xf numFmtId="0" fontId="74" fillId="26" borderId="76" xfId="47" applyFont="1" applyFill="1" applyBorder="1"/>
    <xf numFmtId="0" fontId="45" fillId="26" borderId="77" xfId="47" applyFill="1" applyBorder="1"/>
    <xf numFmtId="0" fontId="45" fillId="26" borderId="78" xfId="47" applyFill="1" applyBorder="1"/>
    <xf numFmtId="0" fontId="45" fillId="26" borderId="79" xfId="47" applyFill="1" applyBorder="1"/>
    <xf numFmtId="0" fontId="45" fillId="26" borderId="55" xfId="47" applyFill="1" applyBorder="1" applyAlignment="1">
      <alignment horizontal="center"/>
    </xf>
    <xf numFmtId="0" fontId="3" fillId="26" borderId="80" xfId="47" applyFont="1" applyFill="1" applyBorder="1" applyAlignment="1">
      <alignment horizontal="center"/>
    </xf>
    <xf numFmtId="0" fontId="45" fillId="26" borderId="24" xfId="47" applyFill="1" applyBorder="1" applyAlignment="1">
      <alignment horizontal="center"/>
    </xf>
    <xf numFmtId="0" fontId="45" fillId="26" borderId="13" xfId="47" applyFill="1" applyBorder="1" applyAlignment="1">
      <alignment horizontal="center"/>
    </xf>
    <xf numFmtId="0" fontId="72" fillId="26" borderId="14" xfId="47" applyFont="1" applyFill="1" applyBorder="1" applyAlignment="1">
      <alignment horizontal="left" indent="2"/>
    </xf>
    <xf numFmtId="0" fontId="45" fillId="26" borderId="58" xfId="47" applyFill="1" applyBorder="1" applyAlignment="1">
      <alignment horizontal="center"/>
    </xf>
    <xf numFmtId="0" fontId="73" fillId="26" borderId="66" xfId="47" applyFont="1" applyFill="1" applyBorder="1" applyAlignment="1">
      <alignment horizontal="left" indent="4"/>
    </xf>
    <xf numFmtId="0" fontId="45" fillId="26" borderId="57" xfId="47" applyFill="1" applyBorder="1" applyAlignment="1">
      <alignment horizontal="center"/>
    </xf>
    <xf numFmtId="0" fontId="45" fillId="26" borderId="50" xfId="47" applyFill="1" applyBorder="1" applyAlignment="1">
      <alignment horizontal="center"/>
    </xf>
    <xf numFmtId="0" fontId="72" fillId="26" borderId="81" xfId="47" applyFont="1" applyFill="1" applyBorder="1" applyAlignment="1">
      <alignment horizontal="left" indent="2"/>
    </xf>
    <xf numFmtId="0" fontId="45" fillId="26" borderId="25" xfId="47" applyFill="1" applyBorder="1" applyAlignment="1">
      <alignment horizontal="center"/>
    </xf>
    <xf numFmtId="0" fontId="45" fillId="26" borderId="52" xfId="47" applyFill="1" applyBorder="1" applyAlignment="1">
      <alignment horizontal="center"/>
    </xf>
    <xf numFmtId="0" fontId="73" fillId="26" borderId="80" xfId="47" applyFont="1" applyFill="1" applyBorder="1" applyAlignment="1">
      <alignment horizontal="left" indent="4"/>
    </xf>
    <xf numFmtId="0" fontId="73" fillId="26" borderId="82" xfId="47" applyFont="1" applyFill="1" applyBorder="1" applyAlignment="1">
      <alignment horizontal="left" indent="4"/>
    </xf>
    <xf numFmtId="0" fontId="45" fillId="26" borderId="83" xfId="47" applyFill="1" applyBorder="1" applyAlignment="1">
      <alignment horizontal="center"/>
    </xf>
    <xf numFmtId="0" fontId="11" fillId="26" borderId="0" xfId="81" applyFont="1" applyFill="1" applyAlignment="1" applyProtection="1">
      <alignment horizontal="center"/>
    </xf>
    <xf numFmtId="0" fontId="11" fillId="26" borderId="0" xfId="81" applyFont="1" applyFill="1" applyProtection="1"/>
    <xf numFmtId="0" fontId="12" fillId="26" borderId="0" xfId="81" applyFont="1" applyFill="1" applyProtection="1"/>
    <xf numFmtId="0" fontId="12" fillId="26" borderId="0" xfId="81" applyFont="1" applyFill="1" applyAlignment="1" applyProtection="1">
      <alignment horizontal="center"/>
    </xf>
    <xf numFmtId="0" fontId="12" fillId="26" borderId="0" xfId="81" applyFont="1" applyFill="1" applyAlignment="1" applyProtection="1">
      <alignment horizontal="right"/>
    </xf>
    <xf numFmtId="0" fontId="12" fillId="31" borderId="39" xfId="81" applyFont="1" applyFill="1" applyBorder="1" applyAlignment="1" applyProtection="1"/>
    <xf numFmtId="0" fontId="12" fillId="26" borderId="39" xfId="81" applyFont="1" applyFill="1" applyBorder="1" applyAlignment="1" applyProtection="1"/>
    <xf numFmtId="0" fontId="12" fillId="31" borderId="39" xfId="81" applyFont="1" applyFill="1" applyBorder="1" applyAlignment="1" applyProtection="1">
      <alignment horizontal="right"/>
    </xf>
    <xf numFmtId="0" fontId="12" fillId="31" borderId="39" xfId="81" applyFont="1" applyFill="1" applyBorder="1" applyProtection="1"/>
    <xf numFmtId="0" fontId="12" fillId="26" borderId="39" xfId="81" applyFont="1" applyFill="1" applyBorder="1" applyProtection="1"/>
    <xf numFmtId="0" fontId="12" fillId="31" borderId="22" xfId="81" applyFont="1" applyFill="1" applyBorder="1" applyProtection="1"/>
    <xf numFmtId="0" fontId="12" fillId="31" borderId="38" xfId="81" applyFont="1" applyFill="1" applyBorder="1" applyProtection="1"/>
    <xf numFmtId="0" fontId="11" fillId="26" borderId="0" xfId="81" applyFont="1" applyFill="1" applyAlignment="1" applyProtection="1">
      <alignment horizontal="center" vertical="center"/>
    </xf>
    <xf numFmtId="0" fontId="12" fillId="31" borderId="22" xfId="81" applyFont="1" applyFill="1" applyBorder="1" applyAlignment="1" applyProtection="1">
      <alignment horizontal="center" vertical="center"/>
    </xf>
    <xf numFmtId="0" fontId="12" fillId="31" borderId="38" xfId="81" applyFont="1" applyFill="1" applyBorder="1" applyAlignment="1" applyProtection="1">
      <alignment horizontal="center" vertical="center"/>
    </xf>
    <xf numFmtId="0" fontId="12" fillId="26" borderId="0" xfId="81" applyFont="1" applyFill="1" applyAlignment="1" applyProtection="1">
      <alignment horizontal="center" vertical="center"/>
    </xf>
    <xf numFmtId="0" fontId="12" fillId="31" borderId="0" xfId="81" applyFont="1" applyFill="1" applyBorder="1" applyAlignment="1" applyProtection="1">
      <alignment horizontal="center" vertical="center" wrapText="1"/>
    </xf>
    <xf numFmtId="0" fontId="12" fillId="26" borderId="0" xfId="81" applyFont="1" applyFill="1" applyBorder="1" applyAlignment="1" applyProtection="1">
      <alignment horizontal="center" vertical="center" wrapText="1"/>
    </xf>
    <xf numFmtId="0" fontId="12" fillId="31" borderId="84" xfId="81" applyFont="1" applyFill="1" applyBorder="1" applyAlignment="1" applyProtection="1">
      <alignment horizontal="center"/>
    </xf>
    <xf numFmtId="0" fontId="13" fillId="26" borderId="15" xfId="81" applyFont="1" applyFill="1" applyBorder="1" applyAlignment="1" applyProtection="1">
      <alignment horizontal="center" vertical="center" wrapText="1"/>
    </xf>
    <xf numFmtId="0" fontId="13" fillId="26" borderId="16" xfId="81" applyFont="1" applyFill="1" applyBorder="1" applyAlignment="1" applyProtection="1">
      <alignment horizontal="center" vertical="center" wrapText="1"/>
    </xf>
    <xf numFmtId="0" fontId="12" fillId="31" borderId="75" xfId="81" applyFont="1" applyFill="1" applyBorder="1" applyAlignment="1" applyProtection="1">
      <alignment horizontal="center"/>
    </xf>
    <xf numFmtId="0" fontId="12" fillId="26" borderId="85" xfId="81" applyFont="1" applyFill="1" applyBorder="1" applyAlignment="1" applyProtection="1">
      <alignment horizontal="center" vertical="center" wrapText="1"/>
    </xf>
    <xf numFmtId="0" fontId="12" fillId="26" borderId="15" xfId="81" applyFont="1" applyFill="1" applyBorder="1" applyAlignment="1" applyProtection="1">
      <alignment horizontal="center" vertical="center"/>
    </xf>
    <xf numFmtId="1" fontId="12" fillId="26" borderId="15" xfId="81" applyNumberFormat="1" applyFont="1" applyFill="1" applyBorder="1" applyAlignment="1" applyProtection="1">
      <alignment horizontal="center" vertical="center" wrapText="1"/>
    </xf>
    <xf numFmtId="1" fontId="12" fillId="26" borderId="16" xfId="81" applyNumberFormat="1" applyFont="1" applyFill="1" applyBorder="1" applyAlignment="1" applyProtection="1">
      <alignment horizontal="center" vertical="center" wrapText="1"/>
    </xf>
    <xf numFmtId="0" fontId="12" fillId="26" borderId="85" xfId="81" applyFont="1" applyFill="1" applyBorder="1" applyAlignment="1" applyProtection="1">
      <alignment horizontal="center"/>
    </xf>
    <xf numFmtId="0" fontId="12" fillId="26" borderId="15" xfId="81" applyFont="1" applyFill="1" applyBorder="1" applyAlignment="1" applyProtection="1">
      <alignment horizontal="left"/>
    </xf>
    <xf numFmtId="2" fontId="12" fillId="31" borderId="15" xfId="81" applyNumberFormat="1" applyFont="1" applyFill="1" applyBorder="1" applyProtection="1">
      <protection locked="0"/>
    </xf>
    <xf numFmtId="2" fontId="12" fillId="30" borderId="15" xfId="81" applyNumberFormat="1" applyFont="1" applyFill="1" applyBorder="1" applyProtection="1"/>
    <xf numFmtId="2" fontId="12" fillId="30" borderId="16" xfId="81" applyNumberFormat="1" applyFont="1" applyFill="1" applyBorder="1" applyProtection="1"/>
    <xf numFmtId="0" fontId="12" fillId="26" borderId="86" xfId="81" applyFont="1" applyFill="1" applyBorder="1" applyAlignment="1" applyProtection="1">
      <alignment horizontal="center"/>
    </xf>
    <xf numFmtId="0" fontId="12" fillId="26" borderId="8" xfId="81" applyFont="1" applyFill="1" applyBorder="1" applyProtection="1"/>
    <xf numFmtId="2" fontId="12" fillId="31" borderId="18" xfId="81" applyNumberFormat="1" applyFont="1" applyFill="1" applyBorder="1" applyProtection="1">
      <protection locked="0"/>
    </xf>
    <xf numFmtId="0" fontId="12" fillId="26" borderId="0" xfId="81" applyFont="1" applyFill="1" applyBorder="1" applyProtection="1"/>
    <xf numFmtId="0" fontId="12" fillId="26" borderId="41" xfId="81" applyFont="1" applyFill="1" applyBorder="1" applyProtection="1"/>
    <xf numFmtId="0" fontId="12" fillId="26" borderId="87" xfId="81" applyFont="1" applyFill="1" applyBorder="1" applyProtection="1"/>
    <xf numFmtId="0" fontId="12" fillId="33" borderId="28" xfId="81" applyFont="1" applyFill="1" applyBorder="1" applyProtection="1"/>
    <xf numFmtId="2" fontId="12" fillId="33" borderId="28" xfId="81" applyNumberFormat="1" applyFont="1" applyFill="1" applyBorder="1" applyProtection="1"/>
    <xf numFmtId="0" fontId="12" fillId="26" borderId="75" xfId="81" applyFont="1" applyFill="1" applyBorder="1" applyAlignment="1" applyProtection="1">
      <alignment horizontal="center"/>
    </xf>
    <xf numFmtId="0" fontId="12" fillId="26" borderId="40" xfId="81" applyFont="1" applyFill="1" applyBorder="1" applyAlignment="1" applyProtection="1">
      <alignment horizontal="left"/>
    </xf>
    <xf numFmtId="0" fontId="12" fillId="26" borderId="0" xfId="81" applyFont="1" applyFill="1" applyBorder="1" applyAlignment="1" applyProtection="1">
      <alignment horizontal="center"/>
    </xf>
    <xf numFmtId="0" fontId="12" fillId="26" borderId="8" xfId="81" applyFont="1" applyFill="1" applyBorder="1" applyAlignment="1" applyProtection="1">
      <alignment horizontal="center" wrapText="1"/>
    </xf>
    <xf numFmtId="0" fontId="12" fillId="26" borderId="8" xfId="81" applyFont="1" applyFill="1" applyBorder="1" applyAlignment="1" applyProtection="1">
      <alignment horizontal="center"/>
    </xf>
    <xf numFmtId="0" fontId="12" fillId="26" borderId="88" xfId="81" applyFont="1" applyFill="1" applyBorder="1" applyAlignment="1" applyProtection="1">
      <alignment horizontal="center"/>
    </xf>
    <xf numFmtId="0" fontId="12" fillId="26" borderId="89" xfId="81" applyFont="1" applyFill="1" applyBorder="1" applyAlignment="1" applyProtection="1">
      <alignment horizontal="left"/>
    </xf>
    <xf numFmtId="2" fontId="12" fillId="30" borderId="89" xfId="81" applyNumberFormat="1" applyFont="1" applyFill="1" applyBorder="1" applyProtection="1"/>
    <xf numFmtId="2" fontId="12" fillId="26" borderId="89" xfId="81" applyNumberFormat="1" applyFont="1" applyFill="1" applyBorder="1" applyAlignment="1" applyProtection="1">
      <alignment horizontal="center"/>
    </xf>
    <xf numFmtId="2" fontId="12" fillId="30" borderId="90" xfId="81" applyNumberFormat="1" applyFont="1" applyFill="1" applyBorder="1" applyProtection="1"/>
    <xf numFmtId="0" fontId="12" fillId="31" borderId="76" xfId="81" applyFont="1" applyFill="1" applyBorder="1" applyAlignment="1" applyProtection="1">
      <alignment horizontal="center"/>
    </xf>
    <xf numFmtId="0" fontId="12" fillId="31" borderId="21" xfId="81" applyFont="1" applyFill="1" applyBorder="1" applyProtection="1"/>
    <xf numFmtId="0" fontId="12" fillId="31" borderId="37" xfId="81" applyFont="1" applyFill="1" applyBorder="1" applyProtection="1"/>
    <xf numFmtId="0" fontId="12" fillId="26" borderId="37" xfId="81" applyFont="1" applyFill="1" applyBorder="1" applyProtection="1"/>
    <xf numFmtId="0" fontId="12" fillId="31" borderId="35" xfId="81" applyFont="1" applyFill="1" applyBorder="1" applyProtection="1"/>
    <xf numFmtId="1" fontId="12" fillId="26" borderId="91" xfId="81" applyNumberFormat="1" applyFont="1" applyFill="1" applyBorder="1" applyAlignment="1" applyProtection="1">
      <alignment horizontal="center" vertical="center" wrapText="1"/>
    </xf>
    <xf numFmtId="2" fontId="12" fillId="30" borderId="91" xfId="81" applyNumberFormat="1" applyFont="1" applyFill="1" applyBorder="1" applyProtection="1"/>
    <xf numFmtId="2" fontId="12" fillId="33" borderId="92" xfId="81" applyNumberFormat="1" applyFont="1" applyFill="1" applyBorder="1" applyProtection="1"/>
    <xf numFmtId="2" fontId="12" fillId="30" borderId="93" xfId="81" applyNumberFormat="1" applyFont="1" applyFill="1" applyBorder="1" applyProtection="1"/>
    <xf numFmtId="0" fontId="12" fillId="26" borderId="15" xfId="81" applyFont="1" applyFill="1" applyBorder="1" applyAlignment="1" applyProtection="1">
      <alignment horizontal="center" vertical="center" wrapText="1"/>
    </xf>
    <xf numFmtId="0" fontId="12" fillId="26" borderId="91" xfId="81" applyFont="1" applyFill="1" applyBorder="1" applyAlignment="1" applyProtection="1">
      <alignment horizontal="center" vertical="center" wrapText="1"/>
    </xf>
    <xf numFmtId="0" fontId="12" fillId="26" borderId="28" xfId="81" applyFont="1" applyFill="1" applyBorder="1" applyProtection="1"/>
    <xf numFmtId="0" fontId="12" fillId="33" borderId="92" xfId="81" applyFont="1" applyFill="1" applyBorder="1" applyProtection="1"/>
    <xf numFmtId="0" fontId="17" fillId="26" borderId="0" xfId="0" applyFont="1" applyFill="1"/>
    <xf numFmtId="0" fontId="17" fillId="26" borderId="0" xfId="0" applyFont="1" applyFill="1" applyAlignment="1">
      <alignment horizontal="right"/>
    </xf>
    <xf numFmtId="0" fontId="17" fillId="26" borderId="0" xfId="0" applyFont="1" applyFill="1" applyAlignment="1">
      <alignment horizontal="right" vertical="top"/>
    </xf>
    <xf numFmtId="0" fontId="17" fillId="26" borderId="15" xfId="0" applyFont="1" applyFill="1" applyBorder="1" applyAlignment="1">
      <alignment horizontal="center" vertical="top" wrapText="1"/>
    </xf>
    <xf numFmtId="0" fontId="17" fillId="30" borderId="15" xfId="0" applyFont="1" applyFill="1" applyBorder="1" applyAlignment="1">
      <alignment horizontal="center" vertical="top" wrapText="1"/>
    </xf>
    <xf numFmtId="49" fontId="17" fillId="26" borderId="15" xfId="0" applyNumberFormat="1" applyFont="1" applyFill="1" applyBorder="1" applyAlignment="1">
      <alignment horizontal="center" vertical="top"/>
    </xf>
    <xf numFmtId="0" fontId="17" fillId="26" borderId="16" xfId="0" applyFont="1" applyFill="1" applyBorder="1" applyAlignment="1">
      <alignment horizontal="left"/>
    </xf>
    <xf numFmtId="0" fontId="17" fillId="26" borderId="17" xfId="0" applyFont="1" applyFill="1" applyBorder="1" applyAlignment="1">
      <alignment horizontal="left" wrapText="1"/>
    </xf>
    <xf numFmtId="0" fontId="17" fillId="26" borderId="18" xfId="0" applyFont="1" applyFill="1" applyBorder="1" applyAlignment="1">
      <alignment horizontal="left"/>
    </xf>
    <xf numFmtId="2" fontId="17" fillId="26" borderId="15" xfId="0" applyNumberFormat="1" applyFont="1" applyFill="1" applyBorder="1" applyAlignment="1">
      <alignment horizontal="center"/>
    </xf>
    <xf numFmtId="2" fontId="17" fillId="30" borderId="15" xfId="0" applyNumberFormat="1" applyFont="1" applyFill="1" applyBorder="1" applyAlignment="1">
      <alignment horizontal="center"/>
    </xf>
    <xf numFmtId="49" fontId="17" fillId="26" borderId="15" xfId="0" applyNumberFormat="1" applyFont="1" applyFill="1" applyBorder="1" applyAlignment="1">
      <alignment horizontal="center"/>
    </xf>
    <xf numFmtId="0" fontId="4" fillId="0" borderId="0" xfId="47" applyFont="1" applyAlignment="1">
      <alignment horizontal="center"/>
    </xf>
    <xf numFmtId="0" fontId="4" fillId="0" borderId="0" xfId="47" applyFont="1"/>
    <xf numFmtId="0" fontId="17" fillId="0" borderId="8" xfId="47" applyFont="1" applyBorder="1" applyAlignment="1">
      <alignment horizontal="center" vertical="center" wrapText="1"/>
    </xf>
    <xf numFmtId="0" fontId="4" fillId="0" borderId="8" xfId="47" applyFont="1" applyBorder="1" applyAlignment="1">
      <alignment horizontal="center" vertical="center" wrapText="1"/>
    </xf>
    <xf numFmtId="0" fontId="4" fillId="0" borderId="8" xfId="47" applyNumberFormat="1" applyFont="1" applyBorder="1" applyAlignment="1">
      <alignment horizontal="center" vertical="center" wrapText="1"/>
    </xf>
    <xf numFmtId="0" fontId="17" fillId="0" borderId="8" xfId="47" applyFont="1" applyBorder="1" applyAlignment="1">
      <alignment vertical="center" wrapText="1"/>
    </xf>
    <xf numFmtId="4" fontId="17" fillId="0" borderId="8" xfId="47" applyNumberFormat="1" applyFont="1" applyBorder="1" applyAlignment="1">
      <alignment horizontal="center" vertical="center" wrapText="1"/>
    </xf>
    <xf numFmtId="2" fontId="17" fillId="0" borderId="8" xfId="47" applyNumberFormat="1" applyFont="1" applyBorder="1" applyAlignment="1">
      <alignment horizontal="center" vertical="center" wrapText="1"/>
    </xf>
    <xf numFmtId="0" fontId="17" fillId="0" borderId="0" xfId="47" applyFont="1"/>
    <xf numFmtId="0" fontId="17" fillId="0" borderId="0" xfId="47" applyFont="1" applyAlignment="1">
      <alignment horizontal="center"/>
    </xf>
    <xf numFmtId="4" fontId="17" fillId="0" borderId="0" xfId="47" applyNumberFormat="1" applyFont="1" applyAlignment="1">
      <alignment horizontal="center"/>
    </xf>
    <xf numFmtId="4" fontId="4" fillId="0" borderId="0" xfId="47" applyNumberFormat="1" applyFont="1" applyAlignment="1">
      <alignment horizontal="center"/>
    </xf>
    <xf numFmtId="4" fontId="89" fillId="0" borderId="8" xfId="47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31" borderId="94" xfId="79" applyFont="1" applyFill="1" applyBorder="1" applyAlignment="1" applyProtection="1">
      <alignment horizontal="center" vertical="center" wrapText="1"/>
    </xf>
    <xf numFmtId="0" fontId="13" fillId="31" borderId="78" xfId="79" applyFont="1" applyFill="1" applyBorder="1" applyAlignment="1" applyProtection="1">
      <alignment horizontal="center" vertical="center"/>
    </xf>
    <xf numFmtId="0" fontId="0" fillId="0" borderId="13" xfId="0" applyBorder="1" applyAlignment="1"/>
    <xf numFmtId="0" fontId="0" fillId="0" borderId="27" xfId="0" applyBorder="1" applyAlignment="1"/>
    <xf numFmtId="0" fontId="12" fillId="31" borderId="27" xfId="82" applyFont="1" applyFill="1" applyBorder="1" applyProtection="1"/>
    <xf numFmtId="0" fontId="12" fillId="31" borderId="27" xfId="82" applyFont="1" applyFill="1" applyBorder="1" applyAlignment="1" applyProtection="1">
      <alignment horizontal="center"/>
    </xf>
    <xf numFmtId="0" fontId="12" fillId="31" borderId="27" xfId="83" applyFont="1" applyFill="1" applyBorder="1" applyAlignment="1" applyProtection="1">
      <alignment horizontal="right"/>
    </xf>
    <xf numFmtId="0" fontId="12" fillId="31" borderId="0" xfId="82" applyFont="1" applyFill="1" applyBorder="1" applyProtection="1"/>
    <xf numFmtId="0" fontId="12" fillId="26" borderId="0" xfId="82" applyFont="1" applyFill="1" applyAlignment="1" applyProtection="1">
      <alignment horizontal="right"/>
    </xf>
    <xf numFmtId="0" fontId="0" fillId="0" borderId="56" xfId="0" applyBorder="1" applyAlignment="1">
      <alignment horizontal="left"/>
    </xf>
    <xf numFmtId="0" fontId="0" fillId="0" borderId="8" xfId="0" applyBorder="1" applyAlignment="1">
      <alignment horizontal="center"/>
    </xf>
    <xf numFmtId="4" fontId="0" fillId="0" borderId="8" xfId="0" applyNumberFormat="1" applyFont="1" applyFill="1" applyBorder="1"/>
    <xf numFmtId="0" fontId="0" fillId="0" borderId="56" xfId="0" applyBorder="1"/>
    <xf numFmtId="0" fontId="0" fillId="0" borderId="56" xfId="0" applyFill="1" applyBorder="1"/>
    <xf numFmtId="0" fontId="0" fillId="0" borderId="56" xfId="0" applyBorder="1" applyAlignment="1">
      <alignment vertical="top" wrapText="1"/>
    </xf>
    <xf numFmtId="0" fontId="45" fillId="0" borderId="56" xfId="0" applyFont="1" applyBorder="1"/>
    <xf numFmtId="0" fontId="45" fillId="0" borderId="8" xfId="0" applyFon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4" fontId="45" fillId="26" borderId="34" xfId="47" applyNumberFormat="1" applyFill="1" applyBorder="1" applyAlignment="1">
      <alignment horizontal="center" vertical="center"/>
    </xf>
    <xf numFmtId="2" fontId="12" fillId="37" borderId="16" xfId="81" applyNumberFormat="1" applyFont="1" applyFill="1" applyBorder="1" applyProtection="1"/>
    <xf numFmtId="0" fontId="0" fillId="0" borderId="80" xfId="0" applyBorder="1"/>
    <xf numFmtId="0" fontId="0" fillId="0" borderId="24" xfId="0" applyBorder="1" applyAlignment="1">
      <alignment horizontal="center"/>
    </xf>
    <xf numFmtId="4" fontId="0" fillId="0" borderId="24" xfId="0" applyNumberFormat="1" applyFont="1" applyFill="1" applyBorder="1"/>
    <xf numFmtId="4" fontId="45" fillId="26" borderId="13" xfId="47" applyNumberFormat="1" applyFill="1" applyBorder="1" applyAlignment="1">
      <alignment horizontal="center" vertical="center"/>
    </xf>
    <xf numFmtId="0" fontId="45" fillId="26" borderId="80" xfId="47" applyFill="1" applyBorder="1"/>
    <xf numFmtId="0" fontId="0" fillId="0" borderId="80" xfId="0" applyBorder="1" applyAlignment="1">
      <alignment wrapText="1"/>
    </xf>
    <xf numFmtId="0" fontId="0" fillId="0" borderId="81" xfId="0" applyBorder="1" applyAlignment="1">
      <alignment horizontal="left"/>
    </xf>
    <xf numFmtId="0" fontId="0" fillId="0" borderId="25" xfId="0" applyBorder="1" applyAlignment="1">
      <alignment horizontal="center"/>
    </xf>
    <xf numFmtId="4" fontId="0" fillId="0" borderId="25" xfId="0" applyNumberFormat="1" applyFont="1" applyFill="1" applyBorder="1"/>
    <xf numFmtId="4" fontId="45" fillId="26" borderId="52" xfId="47" applyNumberFormat="1" applyFill="1" applyBorder="1" applyAlignment="1">
      <alignment horizontal="center" vertical="center"/>
    </xf>
    <xf numFmtId="0" fontId="0" fillId="0" borderId="70" xfId="0" applyBorder="1"/>
    <xf numFmtId="0" fontId="0" fillId="0" borderId="71" xfId="0" applyBorder="1"/>
    <xf numFmtId="0" fontId="0" fillId="0" borderId="72" xfId="0" applyBorder="1"/>
    <xf numFmtId="4" fontId="0" fillId="0" borderId="0" xfId="0" applyNumberFormat="1"/>
    <xf numFmtId="0" fontId="45" fillId="0" borderId="80" xfId="0" applyFont="1" applyBorder="1"/>
    <xf numFmtId="0" fontId="45" fillId="0" borderId="24" xfId="0" applyFont="1" applyBorder="1" applyAlignment="1">
      <alignment horizontal="center"/>
    </xf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7" xfId="0" applyBorder="1"/>
    <xf numFmtId="0" fontId="0" fillId="0" borderId="78" xfId="0" applyBorder="1"/>
    <xf numFmtId="4" fontId="0" fillId="0" borderId="79" xfId="0" applyNumberFormat="1" applyBorder="1"/>
    <xf numFmtId="0" fontId="0" fillId="0" borderId="62" xfId="0" applyBorder="1"/>
    <xf numFmtId="0" fontId="0" fillId="0" borderId="63" xfId="0" applyBorder="1"/>
    <xf numFmtId="0" fontId="0" fillId="0" borderId="95" xfId="0" applyBorder="1"/>
    <xf numFmtId="0" fontId="0" fillId="0" borderId="23" xfId="0" applyBorder="1"/>
    <xf numFmtId="0" fontId="0" fillId="0" borderId="79" xfId="0" applyBorder="1"/>
    <xf numFmtId="4" fontId="56" fillId="36" borderId="8" xfId="67" applyNumberFormat="1" applyFont="1" applyFill="1" applyBorder="1" applyAlignment="1">
      <alignment horizontal="center"/>
    </xf>
    <xf numFmtId="0" fontId="45" fillId="36" borderId="112" xfId="47" applyFill="1" applyBorder="1" applyAlignment="1">
      <alignment horizontal="center" vertical="center"/>
    </xf>
    <xf numFmtId="0" fontId="12" fillId="26" borderId="0" xfId="82" applyNumberFormat="1" applyFont="1" applyFill="1" applyProtection="1"/>
    <xf numFmtId="2" fontId="12" fillId="0" borderId="34" xfId="80" applyNumberFormat="1" applyFont="1" applyFill="1" applyBorder="1" applyAlignment="1" applyProtection="1">
      <protection locked="0"/>
    </xf>
    <xf numFmtId="0" fontId="54" fillId="26" borderId="8" xfId="40" applyFont="1" applyFill="1" applyBorder="1" applyAlignment="1" applyProtection="1">
      <alignment horizontal="center" vertical="center" wrapText="1"/>
    </xf>
    <xf numFmtId="165" fontId="7" fillId="0" borderId="8" xfId="58" applyNumberFormat="1" applyFont="1" applyFill="1" applyBorder="1" applyAlignment="1" applyProtection="1">
      <alignment horizontal="center" vertical="center"/>
    </xf>
    <xf numFmtId="174" fontId="56" fillId="0" borderId="8" xfId="110" applyNumberFormat="1" applyFont="1" applyFill="1" applyBorder="1" applyAlignment="1" applyProtection="1">
      <alignment horizontal="center" vertical="center"/>
    </xf>
    <xf numFmtId="0" fontId="56" fillId="0" borderId="8" xfId="58" applyFont="1" applyFill="1" applyBorder="1" applyAlignment="1" applyProtection="1">
      <alignment horizontal="center" vertical="center"/>
    </xf>
    <xf numFmtId="4" fontId="56" fillId="0" borderId="8" xfId="110" applyNumberFormat="1" applyFont="1" applyFill="1" applyBorder="1" applyAlignment="1" applyProtection="1">
      <alignment horizontal="center" vertical="center"/>
    </xf>
    <xf numFmtId="4" fontId="7" fillId="0" borderId="8" xfId="110" applyNumberFormat="1" applyFont="1" applyFill="1" applyBorder="1" applyAlignment="1" applyProtection="1">
      <alignment horizontal="center" vertical="center"/>
    </xf>
    <xf numFmtId="4" fontId="7" fillId="0" borderId="8" xfId="110" applyNumberFormat="1" applyFont="1" applyFill="1" applyBorder="1" applyAlignment="1" applyProtection="1">
      <alignment horizontal="center" vertical="center"/>
      <protection locked="0"/>
    </xf>
    <xf numFmtId="4" fontId="21" fillId="0" borderId="8" xfId="110" applyNumberFormat="1" applyFont="1" applyFill="1" applyBorder="1" applyAlignment="1" applyProtection="1">
      <alignment horizontal="center" vertical="center"/>
    </xf>
    <xf numFmtId="4" fontId="21" fillId="0" borderId="8" xfId="58" applyNumberFormat="1" applyFont="1" applyFill="1" applyBorder="1" applyAlignment="1" applyProtection="1">
      <alignment horizontal="center" vertical="center"/>
    </xf>
    <xf numFmtId="4" fontId="7" fillId="0" borderId="8" xfId="58" applyNumberFormat="1" applyFont="1" applyFill="1" applyBorder="1" applyAlignment="1" applyProtection="1">
      <alignment horizontal="center" vertical="center"/>
    </xf>
    <xf numFmtId="2" fontId="7" fillId="0" borderId="8" xfId="58" applyNumberFormat="1" applyFont="1" applyFill="1" applyBorder="1" applyAlignment="1" applyProtection="1">
      <alignment horizontal="center" vertical="center"/>
    </xf>
    <xf numFmtId="2" fontId="21" fillId="0" borderId="8" xfId="58" applyNumberFormat="1" applyFont="1" applyFill="1" applyBorder="1" applyAlignment="1" applyProtection="1">
      <alignment horizontal="center" vertical="center"/>
    </xf>
    <xf numFmtId="171" fontId="59" fillId="36" borderId="8" xfId="90" applyNumberFormat="1" applyFont="1" applyFill="1" applyBorder="1" applyAlignment="1" applyProtection="1">
      <alignment horizontal="center" vertical="center"/>
      <protection locked="0"/>
    </xf>
    <xf numFmtId="171" fontId="59" fillId="36" borderId="8" xfId="58" applyNumberFormat="1" applyFont="1" applyFill="1" applyBorder="1" applyAlignment="1" applyProtection="1">
      <alignment horizontal="center" vertical="center"/>
      <protection locked="0"/>
    </xf>
    <xf numFmtId="2" fontId="59" fillId="36" borderId="8" xfId="58" applyNumberFormat="1" applyFont="1" applyFill="1" applyBorder="1" applyAlignment="1" applyProtection="1">
      <alignment horizontal="center" vertical="center"/>
      <protection locked="0"/>
    </xf>
    <xf numFmtId="10" fontId="59" fillId="36" borderId="8" xfId="90" applyNumberFormat="1" applyFont="1" applyFill="1" applyBorder="1" applyAlignment="1" applyProtection="1">
      <alignment horizontal="center" vertical="center"/>
    </xf>
    <xf numFmtId="2" fontId="59" fillId="36" borderId="8" xfId="90" applyNumberFormat="1" applyFont="1" applyFill="1" applyBorder="1" applyAlignment="1" applyProtection="1">
      <alignment horizontal="center" vertical="center" wrapText="1"/>
    </xf>
    <xf numFmtId="165" fontId="59" fillId="36" borderId="8" xfId="58" applyNumberFormat="1" applyFont="1" applyFill="1" applyBorder="1" applyAlignment="1" applyProtection="1">
      <alignment horizontal="centerContinuous" vertical="center" wrapText="1"/>
    </xf>
    <xf numFmtId="4" fontId="59" fillId="0" borderId="8" xfId="110" applyNumberFormat="1" applyFont="1" applyFill="1" applyBorder="1" applyAlignment="1" applyProtection="1">
      <alignment horizontal="center" vertical="center"/>
    </xf>
    <xf numFmtId="167" fontId="7" fillId="0" borderId="8" xfId="58" applyNumberFormat="1" applyFont="1" applyFill="1" applyBorder="1" applyProtection="1"/>
    <xf numFmtId="2" fontId="56" fillId="0" borderId="8" xfId="58" applyNumberFormat="1" applyFont="1" applyFill="1" applyBorder="1" applyAlignment="1" applyProtection="1">
      <alignment vertical="top"/>
    </xf>
    <xf numFmtId="4" fontId="21" fillId="0" borderId="8" xfId="110" applyNumberFormat="1" applyFont="1" applyFill="1" applyBorder="1" applyAlignment="1" applyProtection="1">
      <alignment horizontal="right" vertical="center"/>
      <protection locked="0"/>
    </xf>
    <xf numFmtId="2" fontId="21" fillId="36" borderId="8" xfId="58" applyNumberFormat="1" applyFont="1" applyFill="1" applyBorder="1" applyProtection="1"/>
    <xf numFmtId="165" fontId="59" fillId="36" borderId="8" xfId="58" applyNumberFormat="1" applyFont="1" applyFill="1" applyBorder="1" applyAlignment="1" applyProtection="1">
      <alignment horizontal="center" vertical="center" wrapText="1"/>
    </xf>
    <xf numFmtId="165" fontId="59" fillId="0" borderId="8" xfId="58" applyNumberFormat="1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wrapText="1"/>
    </xf>
    <xf numFmtId="165" fontId="4" fillId="0" borderId="24" xfId="0" applyNumberFormat="1" applyFont="1" applyFill="1" applyBorder="1" applyAlignment="1">
      <alignment horizontal="center"/>
    </xf>
    <xf numFmtId="165" fontId="4" fillId="0" borderId="23" xfId="0" applyNumberFormat="1" applyFont="1" applyFill="1" applyBorder="1" applyAlignment="1">
      <alignment horizontal="center"/>
    </xf>
    <xf numFmtId="165" fontId="4" fillId="0" borderId="2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top"/>
    </xf>
    <xf numFmtId="0" fontId="4" fillId="0" borderId="39" xfId="0" applyFont="1" applyFill="1" applyBorder="1" applyAlignment="1">
      <alignment vertical="top" wrapText="1"/>
    </xf>
    <xf numFmtId="167" fontId="4" fillId="0" borderId="24" xfId="0" applyNumberFormat="1" applyFont="1" applyFill="1" applyBorder="1" applyAlignment="1">
      <alignment horizontal="center"/>
    </xf>
    <xf numFmtId="167" fontId="4" fillId="0" borderId="23" xfId="0" applyNumberFormat="1" applyFont="1" applyFill="1" applyBorder="1" applyAlignment="1">
      <alignment horizontal="center"/>
    </xf>
    <xf numFmtId="167" fontId="4" fillId="0" borderId="2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7" fillId="26" borderId="15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7" fillId="26" borderId="15" xfId="0" applyFont="1" applyFill="1" applyBorder="1" applyAlignment="1">
      <alignment horizontal="center" vertical="top" wrapText="1"/>
    </xf>
    <xf numFmtId="0" fontId="7" fillId="26" borderId="15" xfId="0" applyFont="1" applyFill="1" applyBorder="1" applyAlignment="1">
      <alignment horizontal="center" vertical="top"/>
    </xf>
    <xf numFmtId="0" fontId="7" fillId="30" borderId="15" xfId="0" applyFont="1" applyFill="1" applyBorder="1" applyAlignment="1">
      <alignment horizontal="center"/>
    </xf>
    <xf numFmtId="0" fontId="17" fillId="0" borderId="24" xfId="47" applyFont="1" applyBorder="1" applyAlignment="1">
      <alignment horizontal="center" vertical="center" wrapText="1"/>
    </xf>
    <xf numFmtId="0" fontId="17" fillId="0" borderId="25" xfId="47" applyFont="1" applyBorder="1" applyAlignment="1">
      <alignment horizontal="center" vertical="center" wrapText="1"/>
    </xf>
    <xf numFmtId="4" fontId="4" fillId="0" borderId="0" xfId="47" applyNumberFormat="1" applyFont="1" applyAlignment="1">
      <alignment horizontal="left"/>
    </xf>
    <xf numFmtId="0" fontId="4" fillId="0" borderId="0" xfId="47" applyFont="1" applyAlignment="1">
      <alignment horizontal="center"/>
    </xf>
    <xf numFmtId="0" fontId="7" fillId="0" borderId="0" xfId="47" applyFont="1" applyAlignment="1">
      <alignment horizontal="center"/>
    </xf>
    <xf numFmtId="4" fontId="17" fillId="0" borderId="24" xfId="47" applyNumberFormat="1" applyFont="1" applyBorder="1" applyAlignment="1">
      <alignment horizontal="center" vertical="center" wrapText="1"/>
    </xf>
    <xf numFmtId="4" fontId="17" fillId="0" borderId="25" xfId="47" applyNumberFormat="1" applyFont="1" applyBorder="1" applyAlignment="1">
      <alignment horizontal="center" vertical="center" wrapText="1"/>
    </xf>
    <xf numFmtId="0" fontId="17" fillId="0" borderId="8" xfId="47" applyFont="1" applyBorder="1" applyAlignment="1">
      <alignment horizontal="center" vertical="center" wrapText="1"/>
    </xf>
    <xf numFmtId="0" fontId="56" fillId="0" borderId="24" xfId="67" applyNumberFormat="1" applyFont="1" applyBorder="1" applyAlignment="1">
      <alignment horizontal="center" vertical="center"/>
    </xf>
    <xf numFmtId="0" fontId="56" fillId="0" borderId="23" xfId="67" applyNumberFormat="1" applyFont="1" applyBorder="1" applyAlignment="1">
      <alignment horizontal="center" vertical="center"/>
    </xf>
    <xf numFmtId="0" fontId="56" fillId="0" borderId="25" xfId="67" applyNumberFormat="1" applyFont="1" applyBorder="1" applyAlignment="1">
      <alignment horizontal="center" vertical="center"/>
    </xf>
    <xf numFmtId="0" fontId="56" fillId="0" borderId="34" xfId="67" applyFont="1" applyBorder="1" applyAlignment="1">
      <alignment horizontal="center"/>
    </xf>
    <xf numFmtId="0" fontId="56" fillId="0" borderId="26" xfId="67" applyFont="1" applyBorder="1" applyAlignment="1">
      <alignment horizontal="center"/>
    </xf>
    <xf numFmtId="0" fontId="65" fillId="0" borderId="0" xfId="67" applyFont="1" applyAlignment="1">
      <alignment horizontal="center" vertical="center" wrapText="1"/>
    </xf>
    <xf numFmtId="0" fontId="56" fillId="0" borderId="0" xfId="67" applyFont="1" applyAlignment="1">
      <alignment horizontal="center" vertical="center" wrapText="1"/>
    </xf>
    <xf numFmtId="0" fontId="59" fillId="0" borderId="0" xfId="67" applyFont="1" applyBorder="1" applyAlignment="1">
      <alignment horizontal="center" vertical="center" wrapText="1"/>
    </xf>
    <xf numFmtId="0" fontId="59" fillId="0" borderId="0" xfId="67" applyFont="1" applyBorder="1" applyAlignment="1">
      <alignment horizontal="center" vertical="center"/>
    </xf>
    <xf numFmtId="0" fontId="59" fillId="0" borderId="32" xfId="67" applyFont="1" applyBorder="1" applyAlignment="1">
      <alignment horizontal="center" vertical="center"/>
    </xf>
    <xf numFmtId="0" fontId="39" fillId="0" borderId="23" xfId="67" applyBorder="1" applyAlignment="1">
      <alignment horizontal="center"/>
    </xf>
    <xf numFmtId="0" fontId="39" fillId="0" borderId="25" xfId="67" applyBorder="1" applyAlignment="1">
      <alignment horizontal="center"/>
    </xf>
    <xf numFmtId="0" fontId="12" fillId="31" borderId="27" xfId="79" applyFont="1" applyFill="1" applyBorder="1" applyAlignment="1" applyProtection="1">
      <alignment horizontal="center" vertical="center" wrapText="1"/>
    </xf>
    <xf numFmtId="0" fontId="12" fillId="26" borderId="96" xfId="79" applyFont="1" applyFill="1" applyBorder="1" applyAlignment="1" applyProtection="1">
      <alignment horizontal="left" vertical="center"/>
    </xf>
    <xf numFmtId="0" fontId="12" fillId="26" borderId="97" xfId="79" applyFont="1" applyFill="1" applyBorder="1" applyAlignment="1" applyProtection="1">
      <alignment horizontal="left" vertical="center"/>
    </xf>
    <xf numFmtId="0" fontId="12" fillId="26" borderId="89" xfId="79" applyFont="1" applyFill="1" applyBorder="1" applyAlignment="1" applyProtection="1">
      <alignment horizontal="left" vertical="center" wrapText="1"/>
    </xf>
    <xf numFmtId="0" fontId="12" fillId="26" borderId="49" xfId="79" applyFont="1" applyFill="1" applyBorder="1" applyAlignment="1" applyProtection="1">
      <alignment horizontal="left" vertical="center" wrapText="1"/>
    </xf>
    <xf numFmtId="0" fontId="13" fillId="34" borderId="13" xfId="79" applyFont="1" applyFill="1" applyBorder="1" applyAlignment="1" applyProtection="1">
      <alignment horizontal="center" vertical="center" wrapText="1"/>
    </xf>
    <xf numFmtId="0" fontId="13" fillId="34" borderId="27" xfId="79" applyFont="1" applyFill="1" applyBorder="1" applyAlignment="1" applyProtection="1">
      <alignment horizontal="center" vertical="center" wrapText="1"/>
    </xf>
    <xf numFmtId="0" fontId="13" fillId="34" borderId="98" xfId="79" applyFont="1" applyFill="1" applyBorder="1" applyAlignment="1" applyProtection="1">
      <alignment horizontal="center" vertical="center" wrapText="1"/>
    </xf>
    <xf numFmtId="0" fontId="13" fillId="34" borderId="41" xfId="79" applyFont="1" applyFill="1" applyBorder="1" applyAlignment="1" applyProtection="1">
      <alignment horizontal="center" vertical="center" wrapText="1"/>
    </xf>
    <xf numFmtId="0" fontId="13" fillId="34" borderId="0" xfId="79" applyFont="1" applyFill="1" applyBorder="1" applyAlignment="1" applyProtection="1">
      <alignment horizontal="center" vertical="center" wrapText="1"/>
    </xf>
    <xf numFmtId="0" fontId="13" fillId="34" borderId="42" xfId="79" applyFont="1" applyFill="1" applyBorder="1" applyAlignment="1" applyProtection="1">
      <alignment horizontal="center" vertical="center" wrapText="1"/>
    </xf>
    <xf numFmtId="0" fontId="12" fillId="31" borderId="99" xfId="82" applyFont="1" applyFill="1" applyBorder="1" applyAlignment="1" applyProtection="1">
      <alignment horizontal="center" vertical="center" wrapText="1"/>
    </xf>
    <xf numFmtId="0" fontId="12" fillId="31" borderId="100" xfId="82" applyFont="1" applyFill="1" applyBorder="1" applyAlignment="1" applyProtection="1">
      <alignment horizontal="center" vertical="center" wrapText="1"/>
    </xf>
    <xf numFmtId="0" fontId="12" fillId="31" borderId="101" xfId="82" applyFont="1" applyFill="1" applyBorder="1" applyAlignment="1" applyProtection="1">
      <alignment horizontal="center" vertical="center" wrapText="1"/>
    </xf>
    <xf numFmtId="0" fontId="12" fillId="26" borderId="56" xfId="79" applyFont="1" applyFill="1" applyBorder="1" applyAlignment="1" applyProtection="1">
      <alignment horizontal="left" vertical="center"/>
    </xf>
    <xf numFmtId="0" fontId="12" fillId="26" borderId="66" xfId="79" applyFont="1" applyFill="1" applyBorder="1" applyAlignment="1" applyProtection="1">
      <alignment horizontal="left" vertical="center"/>
    </xf>
    <xf numFmtId="0" fontId="12" fillId="26" borderId="8" xfId="79" applyFont="1" applyFill="1" applyBorder="1" applyAlignment="1" applyProtection="1">
      <alignment horizontal="left" vertical="center" wrapText="1"/>
    </xf>
    <xf numFmtId="0" fontId="12" fillId="26" borderId="57" xfId="79" applyFont="1" applyFill="1" applyBorder="1" applyAlignment="1" applyProtection="1">
      <alignment horizontal="left" vertical="center" wrapText="1"/>
    </xf>
    <xf numFmtId="0" fontId="12" fillId="31" borderId="13" xfId="79" applyFont="1" applyFill="1" applyBorder="1" applyAlignment="1" applyProtection="1">
      <alignment horizontal="center" vertical="center" wrapText="1"/>
    </xf>
    <xf numFmtId="0" fontId="56" fillId="0" borderId="34" xfId="67" applyFont="1" applyBorder="1" applyAlignment="1">
      <alignment horizontal="center" vertical="center"/>
    </xf>
    <xf numFmtId="0" fontId="56" fillId="0" borderId="28" xfId="67" applyFont="1" applyBorder="1" applyAlignment="1">
      <alignment horizontal="center" vertical="center"/>
    </xf>
    <xf numFmtId="0" fontId="56" fillId="0" borderId="26" xfId="67" applyFont="1" applyBorder="1" applyAlignment="1">
      <alignment horizontal="center" vertical="center"/>
    </xf>
    <xf numFmtId="0" fontId="59" fillId="0" borderId="0" xfId="67" applyFont="1" applyAlignment="1">
      <alignment horizontal="center" vertical="center" wrapText="1"/>
    </xf>
    <xf numFmtId="0" fontId="56" fillId="0" borderId="24" xfId="67" applyFont="1" applyBorder="1" applyAlignment="1">
      <alignment horizontal="center" vertical="center" wrapText="1"/>
    </xf>
    <xf numFmtId="0" fontId="56" fillId="0" borderId="23" xfId="67" applyFont="1" applyBorder="1" applyAlignment="1">
      <alignment horizontal="center" vertical="center" wrapText="1"/>
    </xf>
    <xf numFmtId="0" fontId="56" fillId="0" borderId="25" xfId="67" applyFont="1" applyBorder="1" applyAlignment="1">
      <alignment horizontal="center" vertical="center" wrapText="1"/>
    </xf>
    <xf numFmtId="14" fontId="56" fillId="0" borderId="24" xfId="67" applyNumberFormat="1" applyFont="1" applyBorder="1" applyAlignment="1">
      <alignment horizontal="center" vertical="center" wrapText="1"/>
    </xf>
    <xf numFmtId="0" fontId="12" fillId="26" borderId="56" xfId="79" applyFont="1" applyFill="1" applyBorder="1" applyAlignment="1" applyProtection="1">
      <alignment horizontal="center" vertical="center"/>
    </xf>
    <xf numFmtId="0" fontId="12" fillId="26" borderId="66" xfId="79" applyFont="1" applyFill="1" applyBorder="1" applyAlignment="1" applyProtection="1">
      <alignment horizontal="center" vertical="center"/>
    </xf>
    <xf numFmtId="0" fontId="12" fillId="31" borderId="102" xfId="79" applyFont="1" applyFill="1" applyBorder="1" applyAlignment="1" applyProtection="1">
      <alignment horizontal="center" vertical="center" wrapText="1"/>
    </xf>
    <xf numFmtId="0" fontId="12" fillId="31" borderId="39" xfId="79" applyFont="1" applyFill="1" applyBorder="1" applyAlignment="1" applyProtection="1">
      <alignment horizontal="center" vertical="center" wrapText="1"/>
    </xf>
    <xf numFmtId="0" fontId="13" fillId="34" borderId="38" xfId="79" applyFont="1" applyFill="1" applyBorder="1" applyAlignment="1" applyProtection="1">
      <alignment horizontal="center" vertical="center" wrapText="1"/>
    </xf>
    <xf numFmtId="49" fontId="15" fillId="33" borderId="34" xfId="34" applyNumberFormat="1" applyFont="1" applyFill="1" applyBorder="1" applyAlignment="1" applyProtection="1">
      <alignment horizontal="left" vertical="top"/>
    </xf>
    <xf numFmtId="49" fontId="15" fillId="33" borderId="28" xfId="34" applyNumberFormat="1" applyFont="1" applyFill="1" applyBorder="1" applyAlignment="1" applyProtection="1">
      <alignment horizontal="left" vertical="top"/>
    </xf>
    <xf numFmtId="0" fontId="12" fillId="31" borderId="37" xfId="81" applyFont="1" applyFill="1" applyBorder="1" applyAlignment="1" applyProtection="1">
      <alignment horizontal="left"/>
    </xf>
    <xf numFmtId="0" fontId="15" fillId="31" borderId="20" xfId="31" applyNumberFormat="1" applyFont="1" applyFill="1" applyBorder="1" applyAlignment="1" applyProtection="1">
      <alignment horizontal="left" indent="3"/>
    </xf>
    <xf numFmtId="0" fontId="13" fillId="34" borderId="19" xfId="81" applyFont="1" applyFill="1" applyBorder="1" applyAlignment="1" applyProtection="1">
      <alignment horizontal="center" vertical="center" wrapText="1"/>
    </xf>
    <xf numFmtId="0" fontId="12" fillId="34" borderId="40" xfId="81" applyFont="1" applyFill="1" applyBorder="1" applyAlignment="1" applyProtection="1">
      <alignment horizontal="center" vertical="center" wrapText="1"/>
    </xf>
    <xf numFmtId="0" fontId="12" fillId="31" borderId="39" xfId="81" applyFont="1" applyFill="1" applyBorder="1" applyAlignment="1" applyProtection="1">
      <alignment horizontal="center" vertical="center" wrapText="1"/>
    </xf>
    <xf numFmtId="0" fontId="13" fillId="26" borderId="103" xfId="81" applyFont="1" applyFill="1" applyBorder="1" applyAlignment="1" applyProtection="1">
      <alignment horizontal="center" vertical="center" wrapText="1"/>
    </xf>
    <xf numFmtId="0" fontId="13" fillId="26" borderId="104" xfId="81" applyFont="1" applyFill="1" applyBorder="1" applyAlignment="1" applyProtection="1">
      <alignment horizontal="center" vertical="center"/>
    </xf>
    <xf numFmtId="0" fontId="13" fillId="26" borderId="105" xfId="81" applyFont="1" applyFill="1" applyBorder="1" applyAlignment="1" applyProtection="1">
      <alignment horizontal="center" vertical="center"/>
    </xf>
    <xf numFmtId="0" fontId="13" fillId="26" borderId="106" xfId="8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9" fillId="0" borderId="0" xfId="0" applyFont="1" applyBorder="1" applyAlignment="1">
      <alignment horizontal="justify" wrapText="1"/>
    </xf>
    <xf numFmtId="0" fontId="19" fillId="26" borderId="0" xfId="0" applyFont="1" applyFill="1" applyBorder="1" applyAlignment="1">
      <alignment horizontal="justify" wrapText="1"/>
    </xf>
    <xf numFmtId="0" fontId="17" fillId="26" borderId="15" xfId="0" applyFont="1" applyFill="1" applyBorder="1" applyAlignment="1">
      <alignment horizontal="center" vertical="top" wrapText="1"/>
    </xf>
    <xf numFmtId="0" fontId="18" fillId="26" borderId="0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0" fontId="17" fillId="0" borderId="107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justify" wrapText="1"/>
    </xf>
    <xf numFmtId="0" fontId="17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17" fillId="0" borderId="109" xfId="0" applyFont="1" applyBorder="1" applyAlignment="1">
      <alignment horizontal="center" vertical="center"/>
    </xf>
    <xf numFmtId="0" fontId="17" fillId="0" borderId="110" xfId="0" applyFont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40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center"/>
    </xf>
    <xf numFmtId="0" fontId="17" fillId="0" borderId="10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 wrapText="1"/>
    </xf>
    <xf numFmtId="0" fontId="4" fillId="0" borderId="0" xfId="58" applyFont="1" applyAlignment="1" applyProtection="1">
      <alignment horizontal="center"/>
    </xf>
    <xf numFmtId="0" fontId="52" fillId="0" borderId="32" xfId="58" applyFont="1" applyBorder="1" applyAlignment="1" applyProtection="1">
      <alignment horizontal="center"/>
    </xf>
    <xf numFmtId="0" fontId="55" fillId="0" borderId="0" xfId="58" applyFont="1" applyFill="1" applyAlignment="1" applyProtection="1">
      <alignment horizontal="center" vertical="center" wrapText="1"/>
    </xf>
    <xf numFmtId="165" fontId="7" fillId="0" borderId="24" xfId="58" applyNumberFormat="1" applyFont="1" applyFill="1" applyBorder="1" applyAlignment="1" applyProtection="1">
      <alignment horizontal="center" vertical="top"/>
    </xf>
    <xf numFmtId="165" fontId="7" fillId="0" borderId="23" xfId="58" applyNumberFormat="1" applyFont="1" applyFill="1" applyBorder="1" applyAlignment="1" applyProtection="1">
      <alignment horizontal="center" vertical="top"/>
    </xf>
    <xf numFmtId="165" fontId="7" fillId="0" borderId="25" xfId="58" applyNumberFormat="1" applyFont="1" applyFill="1" applyBorder="1" applyAlignment="1" applyProtection="1">
      <alignment horizontal="center" vertical="top"/>
    </xf>
    <xf numFmtId="0" fontId="54" fillId="26" borderId="34" xfId="40" applyFont="1" applyFill="1" applyBorder="1" applyAlignment="1" applyProtection="1">
      <alignment horizontal="center" vertical="center" wrapText="1"/>
    </xf>
    <xf numFmtId="0" fontId="54" fillId="26" borderId="28" xfId="40" applyFont="1" applyFill="1" applyBorder="1" applyAlignment="1" applyProtection="1">
      <alignment horizontal="center" vertical="center" wrapText="1"/>
    </xf>
    <xf numFmtId="0" fontId="54" fillId="26" borderId="26" xfId="40" applyFont="1" applyFill="1" applyBorder="1" applyAlignment="1" applyProtection="1">
      <alignment horizontal="center" vertical="center" wrapText="1"/>
    </xf>
    <xf numFmtId="0" fontId="54" fillId="26" borderId="8" xfId="40" applyFont="1" applyFill="1" applyBorder="1" applyAlignment="1" applyProtection="1">
      <alignment horizontal="center" vertical="center" wrapText="1"/>
    </xf>
    <xf numFmtId="0" fontId="54" fillId="0" borderId="8" xfId="40" applyFont="1" applyBorder="1" applyAlignment="1" applyProtection="1">
      <alignment horizontal="center" vertical="center" wrapText="1"/>
    </xf>
    <xf numFmtId="49" fontId="53" fillId="0" borderId="8" xfId="40" applyNumberFormat="1" applyFont="1" applyBorder="1" applyAlignment="1" applyProtection="1">
      <alignment horizontal="center" vertical="center" wrapText="1"/>
    </xf>
  </cellXfs>
  <cellStyles count="11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uro" xfId="19"/>
    <cellStyle name="Euro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Беззащитный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_Справочник" xfId="34"/>
    <cellStyle name="Заголовок" xfId="35"/>
    <cellStyle name="Заголовок 1 2" xfId="36"/>
    <cellStyle name="Заголовок 2 2" xfId="37"/>
    <cellStyle name="Заголовок 3 2" xfId="38"/>
    <cellStyle name="Заголовок 4 2" xfId="39"/>
    <cellStyle name="ЗаголовокСтолбца" xfId="40"/>
    <cellStyle name="Защитный" xfId="41"/>
    <cellStyle name="Значение" xfId="42"/>
    <cellStyle name="Итог 2" xfId="43"/>
    <cellStyle name="Контрольная ячейка 2" xfId="44"/>
    <cellStyle name="Название 2" xfId="45"/>
    <cellStyle name="Нейтральный 2" xfId="46"/>
    <cellStyle name="Обычный" xfId="0" builtinId="0"/>
    <cellStyle name="Обычный 10" xfId="47"/>
    <cellStyle name="Обычный 11" xfId="48"/>
    <cellStyle name="Обычный 12" xfId="49"/>
    <cellStyle name="Обычный 13" xfId="50"/>
    <cellStyle name="Обычный 14" xfId="51"/>
    <cellStyle name="Обычный 14 2" xfId="52"/>
    <cellStyle name="Обычный 15" xfId="53"/>
    <cellStyle name="Обычный 16" xfId="54"/>
    <cellStyle name="Обычный 16 2" xfId="55"/>
    <cellStyle name="Обычный 17" xfId="56"/>
    <cellStyle name="Обычный 18" xfId="57"/>
    <cellStyle name="Обычный 2" xfId="58"/>
    <cellStyle name="Обычный 2 2" xfId="59"/>
    <cellStyle name="Обычный 2 2 2" xfId="60"/>
    <cellStyle name="Обычный 2_ИнТехСервис-Плюс  эл.энергия 2012" xfId="61"/>
    <cellStyle name="Обычный 3" xfId="62"/>
    <cellStyle name="Обычный 3 2" xfId="63"/>
    <cellStyle name="Обычный 3 3" xfId="64"/>
    <cellStyle name="Обычный 3 4" xfId="65"/>
    <cellStyle name="Обычный 3 5" xfId="66"/>
    <cellStyle name="Обычный 4" xfId="67"/>
    <cellStyle name="Обычный 4 2" xfId="68"/>
    <cellStyle name="Обычный 4 2 2" xfId="69"/>
    <cellStyle name="Обычный 4 3" xfId="70"/>
    <cellStyle name="Обычный 4 4" xfId="71"/>
    <cellStyle name="Обычный 4_1 Расчет  СК ИнТехСервис 2015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Обычный 9 2" xfId="78"/>
    <cellStyle name="Обычный_123 ver3" xfId="79"/>
    <cellStyle name="Обычный_123 ver3 2" xfId="80"/>
    <cellStyle name="Обычный_Изменения прил.4" xfId="81"/>
    <cellStyle name="Обычный_Приложение 2" xfId="82"/>
    <cellStyle name="Обычный_тарифы на 2002г с 1-01" xfId="83"/>
    <cellStyle name="Открывавшаяся гиперссылка 2" xfId="84"/>
    <cellStyle name="Плохой 2" xfId="85"/>
    <cellStyle name="Пояснение 2" xfId="86"/>
    <cellStyle name="Примечание 2" xfId="87"/>
    <cellStyle name="Процентный 2" xfId="88"/>
    <cellStyle name="Процентный 2 2" xfId="89"/>
    <cellStyle name="Процентный 3" xfId="90"/>
    <cellStyle name="Процентный 4" xfId="91"/>
    <cellStyle name="Процентный 4 2" xfId="92"/>
    <cellStyle name="Процентный 5" xfId="93"/>
    <cellStyle name="Процентный 6" xfId="94"/>
    <cellStyle name="Связанная ячейка 2" xfId="95"/>
    <cellStyle name="Стиль 1" xfId="96"/>
    <cellStyle name="Стиль 1 2" xfId="97"/>
    <cellStyle name="Текст предупреждения 2" xfId="98"/>
    <cellStyle name="Финансовый 2" xfId="99"/>
    <cellStyle name="Финансовый 2 2" xfId="100"/>
    <cellStyle name="Финансовый 2 2 2" xfId="101"/>
    <cellStyle name="Финансовый 2 2_1 Расчет  СК ИнТехСервис 2015" xfId="102"/>
    <cellStyle name="Финансовый 2 3" xfId="103"/>
    <cellStyle name="Финансовый 3" xfId="104"/>
    <cellStyle name="Финансовый 4" xfId="105"/>
    <cellStyle name="Финансовый 4 2" xfId="106"/>
    <cellStyle name="Финансовый 5" xfId="107"/>
    <cellStyle name="Финансовый 6" xfId="108"/>
    <cellStyle name="Формула" xfId="109"/>
    <cellStyle name="Формула_GRES.2007.5" xfId="110"/>
    <cellStyle name="ФормулаВБ" xfId="111"/>
    <cellStyle name="ФормулаНаКонтроль_GRES.2007.5" xfId="112"/>
    <cellStyle name="Хороший 2" xfId="1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yabina\&#1054;&#1073;&#1097;&#1072;&#1103;%20&#1044;&#1077;&#1088;&#1103;&#1073;&#1080;&#1085;&#1072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76;&#1085;&#1080;&#1082;&#1086;&#1074;&#1072;%20&#1057;&#1069;/Desktop/2015-2019%20&#1055;&#1069;&#1069;,%20&#1057;&#1073;&#1053;,%20&#1058;&#1055;/17%20&#1055;&#1069;&#1069;%20&#1082;&#1086;&#1088;&#1088;&#1077;&#1082;&#1090;&#1080;&#1088;&#1086;&#1074;&#1082;&#1072;%2015%20%20&#1080;%20&#1053;&#1044;&#1055;%2015-19/2%202015%20-2019/2%20-%2026.12.2014/16%20&#1052;&#1059;&#1055;%20&#1043;&#1069;&#1057;/&#1088;&#1072;&#1089;&#1095;&#1077;&#1090;%20&#1087;/&#1043;&#1069;&#1057;/&#1088;&#1072;&#1073;&#1086;&#1095;&#1080;&#1077;/&#1074;%20&#1056;&#1057;&#1058;/&#1085;&#1072;&#1083;&#1086;&#1075;%20&#1085;&#1072;%20&#1080;&#1084;&#1091;&#1097;&#1077;&#1089;&#1090;&#1074;&#1086;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&#1052;&#1059;&#1055;%20&#1043;&#1086;&#1088;&#1101;&#1083;&#1077;&#1082;&#1090;&#1088;&#1086;&#1089;&#1077;&#1090;&#1100;/&#1058;&#1072;&#1088;&#1080;&#1092;&#1099;%20&#1085;&#1072;%202014/&#1089;&#1090;&#1072;&#1090;&#1080;&#1089;&#1090;&#1080;&#1082;&#1072;/FORM3%201%202015%20%20%20(v1%200%201)%20(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Данные для расчета"/>
      <sheetName val="ИТОГИ  по Н,Р,Э,Q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Позиция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лог имущ"/>
      <sheetName val="налог на имущество 2014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ке" refersTo="#ССЫЛКА!"/>
      <definedName name="цу" refersTo="#ССЫЛКА!"/>
    </defined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/>
      <sheetData sheetId="1"/>
      <sheetData sheetId="2">
        <row r="7">
          <cell r="F7" t="str">
            <v>Кировская область</v>
          </cell>
        </row>
        <row r="9">
          <cell r="F9">
            <v>2015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4"/>
  </sheetPr>
  <dimension ref="A1:P49"/>
  <sheetViews>
    <sheetView zoomScale="80" zoomScaleNormal="80" workbookViewId="0">
      <selection activeCell="I56" sqref="I56"/>
    </sheetView>
  </sheetViews>
  <sheetFormatPr defaultRowHeight="12.75"/>
  <cols>
    <col min="1" max="1" width="4.85546875" style="284" customWidth="1"/>
    <col min="2" max="2" width="0.5703125" style="284" customWidth="1"/>
    <col min="3" max="3" width="4.7109375" style="284" customWidth="1"/>
    <col min="4" max="4" width="16" style="284" customWidth="1"/>
    <col min="5" max="5" width="1.7109375" style="284" customWidth="1"/>
    <col min="6" max="6" width="11.5703125" style="284" customWidth="1"/>
    <col min="7" max="7" width="8" style="284" customWidth="1"/>
    <col min="8" max="8" width="8.140625" style="284" customWidth="1"/>
    <col min="9" max="9" width="9.5703125" style="284" customWidth="1"/>
    <col min="10" max="11" width="9.140625" style="284"/>
    <col min="12" max="12" width="9.42578125" style="284" customWidth="1"/>
    <col min="13" max="13" width="9.7109375" style="284" customWidth="1"/>
    <col min="14" max="14" width="8.28515625" style="284" customWidth="1"/>
    <col min="15" max="15" width="9" style="284" customWidth="1"/>
    <col min="16" max="16" width="8.85546875" style="284" customWidth="1"/>
    <col min="17" max="16384" width="9.140625" style="284"/>
  </cols>
  <sheetData>
    <row r="1" spans="1:16">
      <c r="P1" s="285" t="s">
        <v>0</v>
      </c>
    </row>
    <row r="3" spans="1:16" ht="15" customHeight="1">
      <c r="A3" s="674" t="s">
        <v>1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</row>
    <row r="4" spans="1:16" ht="15" customHeight="1">
      <c r="A4" s="674" t="s">
        <v>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</row>
    <row r="5" spans="1:16">
      <c r="G5" s="284" t="s">
        <v>734</v>
      </c>
    </row>
    <row r="6" spans="1:16" ht="12.95" customHeight="1">
      <c r="A6" s="675" t="s">
        <v>3</v>
      </c>
      <c r="B6" s="676" t="s">
        <v>4</v>
      </c>
      <c r="C6" s="676"/>
      <c r="D6" s="676"/>
      <c r="E6" s="676"/>
      <c r="F6" s="675" t="s">
        <v>5</v>
      </c>
      <c r="G6" s="672" t="s">
        <v>677</v>
      </c>
      <c r="H6" s="672"/>
      <c r="I6" s="672"/>
      <c r="J6" s="672"/>
      <c r="K6" s="672"/>
      <c r="L6" s="677" t="s">
        <v>735</v>
      </c>
      <c r="M6" s="678"/>
      <c r="N6" s="678"/>
      <c r="O6" s="678"/>
      <c r="P6" s="679"/>
    </row>
    <row r="7" spans="1:16">
      <c r="A7" s="675"/>
      <c r="B7" s="676"/>
      <c r="C7" s="676"/>
      <c r="D7" s="676"/>
      <c r="E7" s="676"/>
      <c r="F7" s="675"/>
      <c r="G7" s="288" t="s">
        <v>8</v>
      </c>
      <c r="H7" s="288" t="s">
        <v>9</v>
      </c>
      <c r="I7" s="288" t="s">
        <v>10</v>
      </c>
      <c r="J7" s="288" t="s">
        <v>11</v>
      </c>
      <c r="K7" s="288" t="s">
        <v>12</v>
      </c>
      <c r="L7" s="288" t="s">
        <v>8</v>
      </c>
      <c r="M7" s="288" t="s">
        <v>9</v>
      </c>
      <c r="N7" s="288" t="s">
        <v>10</v>
      </c>
      <c r="O7" s="288" t="s">
        <v>11</v>
      </c>
      <c r="P7" s="288" t="s">
        <v>12</v>
      </c>
    </row>
    <row r="8" spans="1:16">
      <c r="A8" s="288">
        <v>1</v>
      </c>
      <c r="B8" s="672">
        <v>2</v>
      </c>
      <c r="C8" s="672"/>
      <c r="D8" s="672"/>
      <c r="E8" s="672"/>
      <c r="F8" s="288">
        <v>3</v>
      </c>
      <c r="G8" s="288">
        <v>4</v>
      </c>
      <c r="H8" s="288">
        <v>5</v>
      </c>
      <c r="I8" s="288">
        <v>6</v>
      </c>
      <c r="J8" s="288">
        <v>7</v>
      </c>
      <c r="K8" s="288">
        <v>8</v>
      </c>
      <c r="L8" s="288">
        <v>9</v>
      </c>
      <c r="M8" s="288">
        <v>10</v>
      </c>
      <c r="N8" s="288">
        <v>11</v>
      </c>
      <c r="O8" s="288">
        <v>12</v>
      </c>
      <c r="P8" s="288">
        <v>13</v>
      </c>
    </row>
    <row r="9" spans="1:16" ht="12.75" customHeight="1">
      <c r="A9" s="289">
        <v>1</v>
      </c>
      <c r="B9" s="290"/>
      <c r="C9" s="673" t="s">
        <v>13</v>
      </c>
      <c r="D9" s="673"/>
      <c r="E9" s="291"/>
      <c r="F9" s="292" t="s">
        <v>14</v>
      </c>
      <c r="G9" s="293">
        <f t="shared" ref="G9:P9" si="0">G10+G14+G17+G20+G32+G37</f>
        <v>0</v>
      </c>
      <c r="H9" s="293">
        <f t="shared" si="0"/>
        <v>0</v>
      </c>
      <c r="I9" s="293">
        <f t="shared" si="0"/>
        <v>0</v>
      </c>
      <c r="J9" s="293">
        <f t="shared" si="0"/>
        <v>0</v>
      </c>
      <c r="K9" s="294">
        <f t="shared" si="0"/>
        <v>0</v>
      </c>
      <c r="L9" s="293">
        <f t="shared" si="0"/>
        <v>0</v>
      </c>
      <c r="M9" s="293">
        <f t="shared" si="0"/>
        <v>0</v>
      </c>
      <c r="N9" s="293">
        <f t="shared" si="0"/>
        <v>0</v>
      </c>
      <c r="O9" s="293">
        <f t="shared" si="0"/>
        <v>0</v>
      </c>
      <c r="P9" s="294">
        <f t="shared" si="0"/>
        <v>0</v>
      </c>
    </row>
    <row r="10" spans="1:16" ht="44.25" customHeight="1">
      <c r="A10" s="295" t="s">
        <v>15</v>
      </c>
      <c r="B10" s="290"/>
      <c r="C10" s="673" t="s">
        <v>580</v>
      </c>
      <c r="D10" s="673"/>
      <c r="E10" s="291"/>
      <c r="F10" s="296" t="s">
        <v>14</v>
      </c>
      <c r="G10" s="297">
        <f>G11*G12*G13*10^-6</f>
        <v>0</v>
      </c>
      <c r="H10" s="297">
        <f>H11*H12*H13*10^-6</f>
        <v>0</v>
      </c>
      <c r="I10" s="297">
        <f>I11*I12*I13*10^-6</f>
        <v>0</v>
      </c>
      <c r="J10" s="297">
        <f>J11*J12*J13*10^-6</f>
        <v>0</v>
      </c>
      <c r="K10" s="297">
        <f>H10+I10+G10</f>
        <v>0</v>
      </c>
      <c r="L10" s="297">
        <f>L11*L12*L13*10^-6</f>
        <v>0</v>
      </c>
      <c r="M10" s="297">
        <f>M11*M12*M13*10^-6</f>
        <v>0</v>
      </c>
      <c r="N10" s="297">
        <f>N11*N12*N13*10^-6</f>
        <v>0</v>
      </c>
      <c r="O10" s="297">
        <f>O11*O12*O13*10^-6</f>
        <v>0</v>
      </c>
      <c r="P10" s="297">
        <f>M10+N10+L10</f>
        <v>0</v>
      </c>
    </row>
    <row r="11" spans="1:16" ht="12.75" customHeight="1">
      <c r="A11" s="298"/>
      <c r="B11" s="299"/>
      <c r="C11" s="681" t="s">
        <v>16</v>
      </c>
      <c r="D11" s="681"/>
      <c r="E11" s="300"/>
      <c r="F11" s="288" t="s">
        <v>17</v>
      </c>
      <c r="G11" s="293"/>
      <c r="H11" s="293"/>
      <c r="I11" s="293"/>
      <c r="J11" s="293"/>
      <c r="K11" s="317" t="e">
        <f>K10/K12/K13*10^6</f>
        <v>#DIV/0!</v>
      </c>
      <c r="L11" s="293"/>
      <c r="M11" s="293"/>
      <c r="N11" s="293"/>
      <c r="O11" s="293"/>
      <c r="P11" s="317" t="e">
        <f>P10/P12/P13*10^6</f>
        <v>#DIV/0!</v>
      </c>
    </row>
    <row r="12" spans="1:16" ht="25.5" customHeight="1">
      <c r="A12" s="277"/>
      <c r="B12" s="299"/>
      <c r="C12" s="681" t="s">
        <v>18</v>
      </c>
      <c r="D12" s="681"/>
      <c r="E12" s="300"/>
      <c r="F12" s="287" t="s">
        <v>19</v>
      </c>
      <c r="G12" s="301"/>
      <c r="H12" s="297"/>
      <c r="I12" s="297"/>
      <c r="J12" s="297"/>
      <c r="K12" s="302"/>
      <c r="L12" s="301"/>
      <c r="M12" s="297"/>
      <c r="N12" s="297"/>
      <c r="O12" s="297"/>
      <c r="P12" s="302"/>
    </row>
    <row r="13" spans="1:16" ht="25.5" customHeight="1">
      <c r="A13" s="277"/>
      <c r="B13" s="299"/>
      <c r="C13" s="681" t="s">
        <v>20</v>
      </c>
      <c r="D13" s="681"/>
      <c r="E13" s="300"/>
      <c r="F13" s="287" t="s">
        <v>21</v>
      </c>
      <c r="G13" s="301"/>
      <c r="H13" s="297"/>
      <c r="I13" s="297"/>
      <c r="J13" s="297"/>
      <c r="K13" s="302"/>
      <c r="L13" s="301"/>
      <c r="M13" s="297"/>
      <c r="N13" s="297"/>
      <c r="O13" s="297"/>
      <c r="P13" s="302"/>
    </row>
    <row r="14" spans="1:16" ht="25.5" customHeight="1">
      <c r="A14" s="295" t="s">
        <v>22</v>
      </c>
      <c r="B14" s="290"/>
      <c r="C14" s="673" t="s">
        <v>23</v>
      </c>
      <c r="D14" s="673"/>
      <c r="E14" s="291"/>
      <c r="F14" s="296" t="s">
        <v>14</v>
      </c>
      <c r="G14" s="297">
        <f>G15*G16</f>
        <v>0</v>
      </c>
      <c r="H14" s="297">
        <v>0</v>
      </c>
      <c r="I14" s="297">
        <v>0</v>
      </c>
      <c r="J14" s="297">
        <v>0</v>
      </c>
      <c r="K14" s="303">
        <f>K15*K16</f>
        <v>0</v>
      </c>
      <c r="L14" s="297">
        <f>L15*L16</f>
        <v>0</v>
      </c>
      <c r="M14" s="297">
        <v>0</v>
      </c>
      <c r="N14" s="297">
        <v>0</v>
      </c>
      <c r="O14" s="297">
        <v>0</v>
      </c>
      <c r="P14" s="303">
        <f>P15*P16</f>
        <v>0</v>
      </c>
    </row>
    <row r="15" spans="1:16" ht="25.5" customHeight="1">
      <c r="A15" s="277" t="s">
        <v>24</v>
      </c>
      <c r="B15" s="299"/>
      <c r="C15" s="680" t="s">
        <v>16</v>
      </c>
      <c r="D15" s="680"/>
      <c r="E15" s="300"/>
      <c r="F15" s="286" t="s">
        <v>25</v>
      </c>
      <c r="G15" s="297"/>
      <c r="H15" s="297"/>
      <c r="I15" s="297"/>
      <c r="J15" s="297"/>
      <c r="K15" s="302"/>
      <c r="L15" s="297"/>
      <c r="M15" s="297"/>
      <c r="N15" s="297"/>
      <c r="O15" s="297"/>
      <c r="P15" s="302"/>
    </row>
    <row r="16" spans="1:16" ht="12.75" customHeight="1">
      <c r="A16" s="298" t="s">
        <v>26</v>
      </c>
      <c r="B16" s="299"/>
      <c r="C16" s="681" t="s">
        <v>27</v>
      </c>
      <c r="D16" s="681"/>
      <c r="E16" s="300"/>
      <c r="F16" s="288" t="s">
        <v>28</v>
      </c>
      <c r="G16" s="293"/>
      <c r="H16" s="293"/>
      <c r="I16" s="293"/>
      <c r="J16" s="293"/>
      <c r="K16" s="304"/>
      <c r="L16" s="293"/>
      <c r="M16" s="293"/>
      <c r="N16" s="293"/>
      <c r="O16" s="293"/>
      <c r="P16" s="304"/>
    </row>
    <row r="17" spans="1:16" ht="39" customHeight="1">
      <c r="A17" s="277" t="s">
        <v>29</v>
      </c>
      <c r="B17" s="299"/>
      <c r="C17" s="681" t="s">
        <v>30</v>
      </c>
      <c r="D17" s="681"/>
      <c r="E17" s="300"/>
      <c r="F17" s="287" t="s">
        <v>14</v>
      </c>
      <c r="G17" s="297"/>
      <c r="H17" s="297"/>
      <c r="I17" s="297"/>
      <c r="J17" s="297"/>
      <c r="K17" s="302"/>
      <c r="L17" s="297"/>
      <c r="M17" s="297"/>
      <c r="N17" s="297"/>
      <c r="O17" s="297"/>
      <c r="P17" s="302"/>
    </row>
    <row r="18" spans="1:16" ht="25.5" customHeight="1">
      <c r="A18" s="277" t="s">
        <v>24</v>
      </c>
      <c r="B18" s="299"/>
      <c r="C18" s="680" t="s">
        <v>16</v>
      </c>
      <c r="D18" s="680"/>
      <c r="E18" s="300"/>
      <c r="F18" s="286" t="s">
        <v>25</v>
      </c>
      <c r="G18" s="297"/>
      <c r="H18" s="297"/>
      <c r="I18" s="297"/>
      <c r="J18" s="297"/>
      <c r="K18" s="302"/>
      <c r="L18" s="297"/>
      <c r="M18" s="297"/>
      <c r="N18" s="297"/>
      <c r="O18" s="297"/>
      <c r="P18" s="302"/>
    </row>
    <row r="19" spans="1:16" ht="12.75" customHeight="1">
      <c r="A19" s="298" t="s">
        <v>26</v>
      </c>
      <c r="B19" s="299"/>
      <c r="C19" s="681" t="s">
        <v>27</v>
      </c>
      <c r="D19" s="681"/>
      <c r="E19" s="300"/>
      <c r="F19" s="288" t="s">
        <v>28</v>
      </c>
      <c r="G19" s="293"/>
      <c r="H19" s="293"/>
      <c r="I19" s="293"/>
      <c r="J19" s="293"/>
      <c r="K19" s="304"/>
      <c r="L19" s="293"/>
      <c r="M19" s="293"/>
      <c r="N19" s="293"/>
      <c r="O19" s="293"/>
      <c r="P19" s="304"/>
    </row>
    <row r="20" spans="1:16" ht="42" customHeight="1">
      <c r="A20" s="295" t="s">
        <v>31</v>
      </c>
      <c r="B20" s="290"/>
      <c r="C20" s="673" t="s">
        <v>32</v>
      </c>
      <c r="D20" s="673"/>
      <c r="E20" s="291"/>
      <c r="F20" s="296" t="s">
        <v>14</v>
      </c>
      <c r="G20" s="297">
        <f>G21+G26</f>
        <v>0</v>
      </c>
      <c r="H20" s="297">
        <v>0</v>
      </c>
      <c r="I20" s="297">
        <v>0</v>
      </c>
      <c r="J20" s="297">
        <v>0</v>
      </c>
      <c r="K20" s="303">
        <f>K21+K26</f>
        <v>0</v>
      </c>
      <c r="L20" s="297">
        <f>L21+L26</f>
        <v>0</v>
      </c>
      <c r="M20" s="297">
        <v>0</v>
      </c>
      <c r="N20" s="297">
        <v>0</v>
      </c>
      <c r="O20" s="297">
        <v>0</v>
      </c>
      <c r="P20" s="303">
        <f>P21+P26</f>
        <v>0</v>
      </c>
    </row>
    <row r="21" spans="1:16" ht="26.25" customHeight="1">
      <c r="A21" s="685" t="s">
        <v>33</v>
      </c>
      <c r="B21" s="305"/>
      <c r="C21" s="686" t="s">
        <v>34</v>
      </c>
      <c r="D21" s="686"/>
      <c r="E21" s="306"/>
      <c r="F21" s="672"/>
      <c r="G21" s="682">
        <f>G24*G25</f>
        <v>0</v>
      </c>
      <c r="H21" s="682">
        <v>0</v>
      </c>
      <c r="I21" s="682">
        <v>0</v>
      </c>
      <c r="J21" s="682">
        <v>0</v>
      </c>
      <c r="K21" s="687">
        <f>K24*K25</f>
        <v>0</v>
      </c>
      <c r="L21" s="682">
        <f>L24*L25</f>
        <v>0</v>
      </c>
      <c r="M21" s="682">
        <v>0</v>
      </c>
      <c r="N21" s="682">
        <v>0</v>
      </c>
      <c r="O21" s="682">
        <v>0</v>
      </c>
      <c r="P21" s="687">
        <f>P24*P25</f>
        <v>0</v>
      </c>
    </row>
    <row r="22" spans="1:16">
      <c r="A22" s="685"/>
      <c r="B22" s="307"/>
      <c r="C22" s="308"/>
      <c r="D22" s="309" t="s">
        <v>35</v>
      </c>
      <c r="E22" s="310"/>
      <c r="F22" s="672"/>
      <c r="G22" s="683"/>
      <c r="H22" s="683"/>
      <c r="I22" s="683"/>
      <c r="J22" s="683"/>
      <c r="K22" s="688"/>
      <c r="L22" s="683"/>
      <c r="M22" s="683"/>
      <c r="N22" s="683"/>
      <c r="O22" s="683"/>
      <c r="P22" s="688"/>
    </row>
    <row r="23" spans="1:16" ht="3" customHeight="1">
      <c r="A23" s="685"/>
      <c r="B23" s="311"/>
      <c r="C23" s="312"/>
      <c r="D23" s="312"/>
      <c r="E23" s="313"/>
      <c r="F23" s="672"/>
      <c r="G23" s="684"/>
      <c r="H23" s="684"/>
      <c r="I23" s="684"/>
      <c r="J23" s="684"/>
      <c r="K23" s="689"/>
      <c r="L23" s="684"/>
      <c r="M23" s="684"/>
      <c r="N23" s="684"/>
      <c r="O23" s="684"/>
      <c r="P23" s="689"/>
    </row>
    <row r="24" spans="1:16" ht="25.5" customHeight="1">
      <c r="A24" s="277" t="s">
        <v>24</v>
      </c>
      <c r="B24" s="299"/>
      <c r="C24" s="680" t="s">
        <v>16</v>
      </c>
      <c r="D24" s="680"/>
      <c r="E24" s="300"/>
      <c r="F24" s="286" t="s">
        <v>25</v>
      </c>
      <c r="G24" s="297"/>
      <c r="H24" s="297"/>
      <c r="I24" s="297"/>
      <c r="J24" s="297"/>
      <c r="K24" s="302"/>
      <c r="L24" s="297"/>
      <c r="M24" s="297"/>
      <c r="N24" s="297"/>
      <c r="O24" s="297"/>
      <c r="P24" s="302"/>
    </row>
    <row r="25" spans="1:16" ht="12.75" customHeight="1">
      <c r="A25" s="298" t="s">
        <v>26</v>
      </c>
      <c r="B25" s="299"/>
      <c r="C25" s="681" t="s">
        <v>27</v>
      </c>
      <c r="D25" s="681"/>
      <c r="E25" s="300"/>
      <c r="F25" s="288" t="s">
        <v>28</v>
      </c>
      <c r="G25" s="293"/>
      <c r="H25" s="293"/>
      <c r="I25" s="293"/>
      <c r="J25" s="293"/>
      <c r="K25" s="304"/>
      <c r="L25" s="293"/>
      <c r="M25" s="293"/>
      <c r="N25" s="293"/>
      <c r="O25" s="293"/>
      <c r="P25" s="304"/>
    </row>
    <row r="26" spans="1:16" ht="26.25" customHeight="1">
      <c r="A26" s="685" t="s">
        <v>36</v>
      </c>
      <c r="B26" s="305"/>
      <c r="C26" s="686" t="s">
        <v>34</v>
      </c>
      <c r="D26" s="686"/>
      <c r="E26" s="306"/>
      <c r="F26" s="672"/>
      <c r="G26" s="682">
        <f>G29*G30</f>
        <v>0</v>
      </c>
      <c r="H26" s="682">
        <v>0</v>
      </c>
      <c r="I26" s="682">
        <v>0</v>
      </c>
      <c r="J26" s="682">
        <v>0</v>
      </c>
      <c r="K26" s="687">
        <f>K29*K30</f>
        <v>0</v>
      </c>
      <c r="L26" s="682">
        <f>L29*L30</f>
        <v>0</v>
      </c>
      <c r="M26" s="682">
        <v>0</v>
      </c>
      <c r="N26" s="682">
        <v>0</v>
      </c>
      <c r="O26" s="682">
        <v>0</v>
      </c>
      <c r="P26" s="687">
        <f>P29*P30</f>
        <v>0</v>
      </c>
    </row>
    <row r="27" spans="1:16">
      <c r="A27" s="685"/>
      <c r="B27" s="307"/>
      <c r="C27" s="308"/>
      <c r="D27" s="309" t="s">
        <v>35</v>
      </c>
      <c r="E27" s="310"/>
      <c r="F27" s="672"/>
      <c r="G27" s="683"/>
      <c r="H27" s="683"/>
      <c r="I27" s="683"/>
      <c r="J27" s="683"/>
      <c r="K27" s="688"/>
      <c r="L27" s="683"/>
      <c r="M27" s="683"/>
      <c r="N27" s="683"/>
      <c r="O27" s="683"/>
      <c r="P27" s="688"/>
    </row>
    <row r="28" spans="1:16" ht="3" customHeight="1">
      <c r="A28" s="685"/>
      <c r="B28" s="311"/>
      <c r="C28" s="312"/>
      <c r="D28" s="312"/>
      <c r="E28" s="313"/>
      <c r="F28" s="672"/>
      <c r="G28" s="684"/>
      <c r="H28" s="684"/>
      <c r="I28" s="684"/>
      <c r="J28" s="684"/>
      <c r="K28" s="689"/>
      <c r="L28" s="684"/>
      <c r="M28" s="684"/>
      <c r="N28" s="684"/>
      <c r="O28" s="684"/>
      <c r="P28" s="689"/>
    </row>
    <row r="29" spans="1:16" ht="25.5" customHeight="1">
      <c r="A29" s="277" t="s">
        <v>24</v>
      </c>
      <c r="B29" s="299"/>
      <c r="C29" s="680" t="s">
        <v>16</v>
      </c>
      <c r="D29" s="680"/>
      <c r="E29" s="300"/>
      <c r="F29" s="286" t="s">
        <v>25</v>
      </c>
      <c r="G29" s="297"/>
      <c r="H29" s="297"/>
      <c r="I29" s="297"/>
      <c r="J29" s="297"/>
      <c r="K29" s="302"/>
      <c r="L29" s="297"/>
      <c r="M29" s="297"/>
      <c r="N29" s="297"/>
      <c r="O29" s="297"/>
      <c r="P29" s="302"/>
    </row>
    <row r="30" spans="1:16" ht="12.75" customHeight="1">
      <c r="A30" s="298" t="s">
        <v>26</v>
      </c>
      <c r="B30" s="299"/>
      <c r="C30" s="681" t="s">
        <v>27</v>
      </c>
      <c r="D30" s="681"/>
      <c r="E30" s="300"/>
      <c r="F30" s="288" t="s">
        <v>28</v>
      </c>
      <c r="G30" s="293"/>
      <c r="H30" s="293"/>
      <c r="I30" s="293"/>
      <c r="J30" s="293"/>
      <c r="K30" s="304"/>
      <c r="L30" s="293"/>
      <c r="M30" s="293"/>
      <c r="N30" s="293"/>
      <c r="O30" s="293"/>
      <c r="P30" s="304"/>
    </row>
    <row r="31" spans="1:16" ht="12.75" customHeight="1">
      <c r="A31" s="298" t="s">
        <v>37</v>
      </c>
      <c r="B31" s="299"/>
      <c r="C31" s="681" t="s">
        <v>38</v>
      </c>
      <c r="D31" s="681"/>
      <c r="E31" s="300"/>
      <c r="F31" s="288"/>
      <c r="G31" s="293"/>
      <c r="H31" s="293"/>
      <c r="I31" s="293"/>
      <c r="J31" s="293"/>
      <c r="K31" s="304"/>
      <c r="L31" s="293"/>
      <c r="M31" s="293"/>
      <c r="N31" s="293"/>
      <c r="O31" s="293"/>
      <c r="P31" s="304"/>
    </row>
    <row r="32" spans="1:16" ht="51" customHeight="1">
      <c r="A32" s="295" t="s">
        <v>39</v>
      </c>
      <c r="B32" s="290"/>
      <c r="C32" s="673" t="s">
        <v>40</v>
      </c>
      <c r="D32" s="673"/>
      <c r="E32" s="291"/>
      <c r="F32" s="296" t="s">
        <v>14</v>
      </c>
      <c r="G32" s="297">
        <f>G33+G36</f>
        <v>0</v>
      </c>
      <c r="H32" s="297">
        <v>0</v>
      </c>
      <c r="I32" s="297">
        <v>0</v>
      </c>
      <c r="J32" s="297">
        <v>0</v>
      </c>
      <c r="K32" s="303">
        <f>K33+K36</f>
        <v>0</v>
      </c>
      <c r="L32" s="297">
        <f>L33+L36</f>
        <v>0</v>
      </c>
      <c r="M32" s="297">
        <v>0</v>
      </c>
      <c r="N32" s="297">
        <v>0</v>
      </c>
      <c r="O32" s="297">
        <v>0</v>
      </c>
      <c r="P32" s="303">
        <f>P33+P36</f>
        <v>0</v>
      </c>
    </row>
    <row r="33" spans="1:16" ht="39" customHeight="1">
      <c r="A33" s="277" t="s">
        <v>41</v>
      </c>
      <c r="B33" s="299"/>
      <c r="C33" s="681" t="s">
        <v>42</v>
      </c>
      <c r="D33" s="681"/>
      <c r="E33" s="300"/>
      <c r="F33" s="287" t="s">
        <v>14</v>
      </c>
      <c r="G33" s="297">
        <f>G34*G35</f>
        <v>0</v>
      </c>
      <c r="H33" s="297">
        <v>0</v>
      </c>
      <c r="I33" s="297">
        <v>0</v>
      </c>
      <c r="J33" s="297">
        <v>0</v>
      </c>
      <c r="K33" s="303">
        <f>K34*K35</f>
        <v>0</v>
      </c>
      <c r="L33" s="297">
        <f>L34*L35</f>
        <v>0</v>
      </c>
      <c r="M33" s="297">
        <v>0</v>
      </c>
      <c r="N33" s="297">
        <v>0</v>
      </c>
      <c r="O33" s="297">
        <v>0</v>
      </c>
      <c r="P33" s="303">
        <f>P34*P35</f>
        <v>0</v>
      </c>
    </row>
    <row r="34" spans="1:16" ht="25.5" customHeight="1">
      <c r="A34" s="277" t="s">
        <v>24</v>
      </c>
      <c r="B34" s="299"/>
      <c r="C34" s="680" t="s">
        <v>16</v>
      </c>
      <c r="D34" s="680"/>
      <c r="E34" s="300"/>
      <c r="F34" s="286" t="s">
        <v>43</v>
      </c>
      <c r="G34" s="297"/>
      <c r="H34" s="297"/>
      <c r="I34" s="297"/>
      <c r="J34" s="297"/>
      <c r="K34" s="302"/>
      <c r="L34" s="297"/>
      <c r="M34" s="297"/>
      <c r="N34" s="297"/>
      <c r="O34" s="297"/>
      <c r="P34" s="302"/>
    </row>
    <row r="35" spans="1:16" ht="16.350000000000001" customHeight="1">
      <c r="A35" s="298" t="s">
        <v>26</v>
      </c>
      <c r="B35" s="299"/>
      <c r="C35" s="681" t="s">
        <v>44</v>
      </c>
      <c r="D35" s="681"/>
      <c r="E35" s="300"/>
      <c r="F35" s="288" t="s">
        <v>45</v>
      </c>
      <c r="G35" s="293"/>
      <c r="H35" s="293"/>
      <c r="I35" s="293"/>
      <c r="J35" s="293"/>
      <c r="K35" s="304"/>
      <c r="L35" s="293"/>
      <c r="M35" s="293"/>
      <c r="N35" s="293"/>
      <c r="O35" s="293"/>
      <c r="P35" s="304"/>
    </row>
    <row r="36" spans="1:16" ht="12.75" customHeight="1">
      <c r="A36" s="298" t="s">
        <v>46</v>
      </c>
      <c r="B36" s="299"/>
      <c r="C36" s="681" t="s">
        <v>38</v>
      </c>
      <c r="D36" s="681"/>
      <c r="E36" s="300"/>
      <c r="F36" s="287" t="s">
        <v>14</v>
      </c>
      <c r="G36" s="293"/>
      <c r="H36" s="293"/>
      <c r="I36" s="293"/>
      <c r="J36" s="293"/>
      <c r="K36" s="304"/>
      <c r="L36" s="293"/>
      <c r="M36" s="293"/>
      <c r="N36" s="293"/>
      <c r="O36" s="293"/>
      <c r="P36" s="304"/>
    </row>
    <row r="37" spans="1:16" ht="25.5" customHeight="1">
      <c r="A37" s="295" t="s">
        <v>47</v>
      </c>
      <c r="B37" s="290"/>
      <c r="C37" s="673" t="s">
        <v>48</v>
      </c>
      <c r="D37" s="673"/>
      <c r="E37" s="291"/>
      <c r="F37" s="296"/>
      <c r="G37" s="297">
        <f>G38+G42</f>
        <v>0</v>
      </c>
      <c r="H37" s="297">
        <v>0</v>
      </c>
      <c r="I37" s="297">
        <v>0</v>
      </c>
      <c r="J37" s="297">
        <v>0</v>
      </c>
      <c r="K37" s="314">
        <f>SUM(G37:J37)</f>
        <v>0</v>
      </c>
      <c r="L37" s="297">
        <f>L38+L42</f>
        <v>0</v>
      </c>
      <c r="M37" s="297">
        <v>0</v>
      </c>
      <c r="N37" s="297">
        <v>0</v>
      </c>
      <c r="O37" s="297">
        <v>0</v>
      </c>
      <c r="P37" s="314">
        <f>SUM(L37:O37)</f>
        <v>0</v>
      </c>
    </row>
    <row r="38" spans="1:16" ht="39" customHeight="1">
      <c r="A38" s="277" t="s">
        <v>49</v>
      </c>
      <c r="B38" s="299"/>
      <c r="C38" s="681" t="s">
        <v>50</v>
      </c>
      <c r="D38" s="681"/>
      <c r="E38" s="300"/>
      <c r="F38" s="287"/>
      <c r="G38" s="297">
        <f>G39*G40*G41</f>
        <v>0</v>
      </c>
      <c r="H38" s="297">
        <v>0</v>
      </c>
      <c r="I38" s="297">
        <v>0</v>
      </c>
      <c r="J38" s="297">
        <v>0</v>
      </c>
      <c r="K38" s="314">
        <f>K39*K40*K41</f>
        <v>0</v>
      </c>
      <c r="L38" s="297">
        <f>L39*L40*L41</f>
        <v>0</v>
      </c>
      <c r="M38" s="297">
        <v>0</v>
      </c>
      <c r="N38" s="297">
        <v>0</v>
      </c>
      <c r="O38" s="297">
        <v>0</v>
      </c>
      <c r="P38" s="314">
        <f>P39*P40*P41</f>
        <v>0</v>
      </c>
    </row>
    <row r="39" spans="1:16" ht="12.75" customHeight="1">
      <c r="A39" s="298" t="s">
        <v>24</v>
      </c>
      <c r="B39" s="299"/>
      <c r="C39" s="681" t="s">
        <v>16</v>
      </c>
      <c r="D39" s="681"/>
      <c r="E39" s="300"/>
      <c r="F39" s="288" t="s">
        <v>51</v>
      </c>
      <c r="G39" s="315"/>
      <c r="H39" s="293"/>
      <c r="I39" s="293"/>
      <c r="J39" s="293"/>
      <c r="K39" s="316"/>
      <c r="L39" s="315"/>
      <c r="M39" s="293"/>
      <c r="N39" s="293"/>
      <c r="O39" s="293"/>
      <c r="P39" s="316"/>
    </row>
    <row r="40" spans="1:16" ht="25.5" customHeight="1">
      <c r="A40" s="277" t="s">
        <v>26</v>
      </c>
      <c r="B40" s="299"/>
      <c r="C40" s="681" t="s">
        <v>52</v>
      </c>
      <c r="D40" s="681"/>
      <c r="E40" s="300"/>
      <c r="F40" s="287"/>
      <c r="G40" s="297"/>
      <c r="H40" s="297"/>
      <c r="I40" s="297"/>
      <c r="J40" s="297"/>
      <c r="K40" s="302"/>
      <c r="L40" s="297"/>
      <c r="M40" s="297"/>
      <c r="N40" s="297"/>
      <c r="O40" s="297"/>
      <c r="P40" s="302"/>
    </row>
    <row r="41" spans="1:16" ht="25.5" customHeight="1">
      <c r="A41" s="295" t="s">
        <v>53</v>
      </c>
      <c r="B41" s="290"/>
      <c r="C41" s="673" t="s">
        <v>54</v>
      </c>
      <c r="D41" s="673"/>
      <c r="E41" s="291"/>
      <c r="F41" s="296" t="s">
        <v>14</v>
      </c>
      <c r="G41" s="297"/>
      <c r="H41" s="297"/>
      <c r="I41" s="297"/>
      <c r="J41" s="297"/>
      <c r="K41" s="302"/>
      <c r="L41" s="297"/>
      <c r="M41" s="297"/>
      <c r="N41" s="297"/>
      <c r="O41" s="297"/>
      <c r="P41" s="302"/>
    </row>
    <row r="42" spans="1:16" ht="25.5" customHeight="1">
      <c r="A42" s="277" t="s">
        <v>55</v>
      </c>
      <c r="B42" s="299"/>
      <c r="C42" s="681" t="s">
        <v>56</v>
      </c>
      <c r="D42" s="681"/>
      <c r="E42" s="300"/>
      <c r="F42" s="287" t="s">
        <v>14</v>
      </c>
      <c r="G42" s="297">
        <f>G43*G44</f>
        <v>0</v>
      </c>
      <c r="H42" s="297">
        <v>0</v>
      </c>
      <c r="I42" s="297">
        <v>0</v>
      </c>
      <c r="J42" s="297">
        <v>0</v>
      </c>
      <c r="K42" s="314">
        <f>K43*K44*10^-3</f>
        <v>0</v>
      </c>
      <c r="L42" s="297">
        <f>L43*L44</f>
        <v>0</v>
      </c>
      <c r="M42" s="297">
        <v>0</v>
      </c>
      <c r="N42" s="297">
        <v>0</v>
      </c>
      <c r="O42" s="297">
        <v>0</v>
      </c>
      <c r="P42" s="314">
        <f>P43*P44*10^-3</f>
        <v>0</v>
      </c>
    </row>
    <row r="43" spans="1:16" ht="25.5" customHeight="1">
      <c r="A43" s="277" t="s">
        <v>24</v>
      </c>
      <c r="B43" s="299"/>
      <c r="C43" s="680" t="s">
        <v>16</v>
      </c>
      <c r="D43" s="680"/>
      <c r="E43" s="300"/>
      <c r="F43" s="286" t="s">
        <v>57</v>
      </c>
      <c r="G43" s="297"/>
      <c r="H43" s="297"/>
      <c r="I43" s="297"/>
      <c r="J43" s="297"/>
      <c r="K43" s="314"/>
      <c r="L43" s="297"/>
      <c r="M43" s="297"/>
      <c r="N43" s="297"/>
      <c r="O43" s="297"/>
      <c r="P43" s="314"/>
    </row>
    <row r="44" spans="1:16" ht="25.5" customHeight="1">
      <c r="A44" s="295" t="s">
        <v>26</v>
      </c>
      <c r="B44" s="290"/>
      <c r="C44" s="673" t="s">
        <v>58</v>
      </c>
      <c r="D44" s="673"/>
      <c r="E44" s="291"/>
      <c r="F44" s="296" t="s">
        <v>45</v>
      </c>
      <c r="G44" s="297"/>
      <c r="H44" s="297"/>
      <c r="I44" s="297"/>
      <c r="J44" s="297"/>
      <c r="K44" s="302"/>
      <c r="L44" s="297"/>
      <c r="M44" s="297"/>
      <c r="N44" s="297"/>
      <c r="O44" s="297"/>
      <c r="P44" s="302"/>
    </row>
    <row r="45" spans="1:16" ht="39" customHeight="1">
      <c r="A45" s="277" t="s">
        <v>59</v>
      </c>
      <c r="B45" s="299"/>
      <c r="C45" s="681" t="s">
        <v>60</v>
      </c>
      <c r="D45" s="681"/>
      <c r="E45" s="300"/>
      <c r="F45" s="287" t="s">
        <v>14</v>
      </c>
      <c r="G45" s="297"/>
      <c r="H45" s="297"/>
      <c r="I45" s="297"/>
      <c r="J45" s="297"/>
      <c r="K45" s="302"/>
      <c r="L45" s="297"/>
      <c r="M45" s="297"/>
      <c r="N45" s="297"/>
      <c r="O45" s="297"/>
      <c r="P45" s="302"/>
    </row>
    <row r="46" spans="1:16" ht="50.25" customHeight="1">
      <c r="A46" s="277" t="s">
        <v>61</v>
      </c>
      <c r="B46" s="299"/>
      <c r="C46" s="681" t="s">
        <v>62</v>
      </c>
      <c r="D46" s="681"/>
      <c r="E46" s="300"/>
      <c r="F46" s="287" t="s">
        <v>14</v>
      </c>
      <c r="G46" s="297"/>
      <c r="H46" s="297"/>
      <c r="I46" s="297"/>
      <c r="J46" s="297"/>
      <c r="K46" s="302"/>
      <c r="L46" s="297"/>
      <c r="M46" s="297"/>
      <c r="N46" s="297"/>
      <c r="O46" s="297"/>
      <c r="P46" s="302"/>
    </row>
    <row r="47" spans="1:16" ht="12.75" customHeight="1">
      <c r="A47" s="289" t="s">
        <v>63</v>
      </c>
      <c r="B47" s="290"/>
      <c r="C47" s="673" t="s">
        <v>64</v>
      </c>
      <c r="D47" s="673"/>
      <c r="E47" s="291"/>
      <c r="F47" s="296" t="s">
        <v>14</v>
      </c>
      <c r="G47" s="293">
        <f>G9+G45+G46</f>
        <v>0</v>
      </c>
      <c r="H47" s="293">
        <v>0</v>
      </c>
      <c r="I47" s="293">
        <v>0</v>
      </c>
      <c r="J47" s="293">
        <v>0</v>
      </c>
      <c r="K47" s="294">
        <f>SUM(G47:J47)</f>
        <v>0</v>
      </c>
      <c r="L47" s="293">
        <f>L9+L45+L46</f>
        <v>0</v>
      </c>
      <c r="M47" s="293">
        <v>0</v>
      </c>
      <c r="N47" s="293">
        <v>0.52300000000000002</v>
      </c>
      <c r="O47" s="293">
        <v>0</v>
      </c>
      <c r="P47" s="294">
        <f>SUM(L47:O47)</f>
        <v>0.52300000000000002</v>
      </c>
    </row>
    <row r="49" spans="3:3">
      <c r="C49" s="284" t="s">
        <v>803</v>
      </c>
    </row>
  </sheetData>
  <sheetProtection selectLockedCells="1" selectUnlockedCells="1"/>
  <mergeCells count="67">
    <mergeCell ref="M26:M28"/>
    <mergeCell ref="N26:N28"/>
    <mergeCell ref="O26:O28"/>
    <mergeCell ref="C29:D29"/>
    <mergeCell ref="I26:I28"/>
    <mergeCell ref="J26:J28"/>
    <mergeCell ref="F26:F28"/>
    <mergeCell ref="O21:O23"/>
    <mergeCell ref="P21:P23"/>
    <mergeCell ref="K21:K23"/>
    <mergeCell ref="L21:L23"/>
    <mergeCell ref="M21:M23"/>
    <mergeCell ref="N21:N23"/>
    <mergeCell ref="C30:D30"/>
    <mergeCell ref="H26:H28"/>
    <mergeCell ref="C32:D32"/>
    <mergeCell ref="C35:D35"/>
    <mergeCell ref="C39:D39"/>
    <mergeCell ref="C31:D31"/>
    <mergeCell ref="C36:D36"/>
    <mergeCell ref="P26:P28"/>
    <mergeCell ref="L26:L28"/>
    <mergeCell ref="C33:D33"/>
    <mergeCell ref="C34:D34"/>
    <mergeCell ref="C47:D47"/>
    <mergeCell ref="C40:D40"/>
    <mergeCell ref="C41:D41"/>
    <mergeCell ref="C42:D42"/>
    <mergeCell ref="C43:D43"/>
    <mergeCell ref="C46:D46"/>
    <mergeCell ref="C44:D44"/>
    <mergeCell ref="C45:D45"/>
    <mergeCell ref="C37:D37"/>
    <mergeCell ref="C38:D38"/>
    <mergeCell ref="K26:K28"/>
    <mergeCell ref="G26:G28"/>
    <mergeCell ref="C24:D24"/>
    <mergeCell ref="C25:D25"/>
    <mergeCell ref="A21:A23"/>
    <mergeCell ref="C21:D21"/>
    <mergeCell ref="A26:A28"/>
    <mergeCell ref="C26:D26"/>
    <mergeCell ref="J21:J23"/>
    <mergeCell ref="I21:I23"/>
    <mergeCell ref="C14:D14"/>
    <mergeCell ref="H21:H23"/>
    <mergeCell ref="G21:G23"/>
    <mergeCell ref="C16:D16"/>
    <mergeCell ref="C17:D17"/>
    <mergeCell ref="C18:D18"/>
    <mergeCell ref="C20:D20"/>
    <mergeCell ref="C10:D10"/>
    <mergeCell ref="C15:D15"/>
    <mergeCell ref="F21:F23"/>
    <mergeCell ref="C11:D11"/>
    <mergeCell ref="C19:D19"/>
    <mergeCell ref="C12:D12"/>
    <mergeCell ref="C13:D13"/>
    <mergeCell ref="B8:E8"/>
    <mergeCell ref="C9:D9"/>
    <mergeCell ref="A3:P3"/>
    <mergeCell ref="A4:P4"/>
    <mergeCell ref="A6:A7"/>
    <mergeCell ref="B6:E7"/>
    <mergeCell ref="F6:F7"/>
    <mergeCell ref="L6:P6"/>
    <mergeCell ref="G6:K6"/>
  </mergeCells>
  <phoneticPr fontId="23" type="noConversion"/>
  <dataValidations count="1">
    <dataValidation type="decimal" allowBlank="1" showInputMessage="1" showErrorMessage="1" error="Ввведеное значение неверно" sqref="G41 L41">
      <formula1>-1000000000000000</formula1>
      <formula2>1000000000000000</formula2>
    </dataValidation>
  </dataValidations>
  <pageMargins left="0.78749999999999998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</sheetPr>
  <dimension ref="A1:R48"/>
  <sheetViews>
    <sheetView topLeftCell="C7" workbookViewId="0">
      <selection activeCell="G54" sqref="G54"/>
    </sheetView>
  </sheetViews>
  <sheetFormatPr defaultRowHeight="11.25"/>
  <cols>
    <col min="1" max="2" width="0" style="373" hidden="1" customWidth="1"/>
    <col min="3" max="3" width="3" style="375" customWidth="1"/>
    <col min="4" max="4" width="6.140625" style="415" customWidth="1"/>
    <col min="5" max="5" width="28.28515625" style="375" customWidth="1"/>
    <col min="6" max="6" width="9.140625" style="375"/>
    <col min="7" max="7" width="9.5703125" style="375" customWidth="1"/>
    <col min="8" max="8" width="10.7109375" style="415" customWidth="1"/>
    <col min="9" max="9" width="14.28515625" style="415" customWidth="1"/>
    <col min="10" max="10" width="8.85546875" style="375" customWidth="1"/>
    <col min="11" max="16384" width="9.140625" style="375"/>
  </cols>
  <sheetData>
    <row r="1" spans="1:18" s="371" customFormat="1" ht="11.25" hidden="1" customHeight="1">
      <c r="A1" s="370" t="e">
        <f>#REF!</f>
        <v>#REF!</v>
      </c>
      <c r="B1" s="370" t="e">
        <f>#REF!</f>
        <v>#REF!</v>
      </c>
      <c r="C1" s="370" t="e">
        <f>#REF!</f>
        <v>#REF!</v>
      </c>
      <c r="D1" s="372"/>
      <c r="R1" s="416"/>
    </row>
    <row r="2" spans="1:18" s="371" customFormat="1" ht="11.25" hidden="1" customHeight="1">
      <c r="A2" s="370" t="e">
        <f>#REF!</f>
        <v>#REF!</v>
      </c>
      <c r="B2" s="370" t="e">
        <f>#REF!</f>
        <v>#REF!</v>
      </c>
      <c r="C2" s="370"/>
      <c r="D2" s="372"/>
      <c r="R2" s="416"/>
    </row>
    <row r="3" spans="1:18" s="371" customFormat="1" ht="11.25" hidden="1" customHeight="1">
      <c r="A3" s="370" t="e">
        <f>#REF!</f>
        <v>#REF!</v>
      </c>
      <c r="B3" s="370" t="e">
        <f>#REF!</f>
        <v>#REF!</v>
      </c>
      <c r="C3" s="370"/>
      <c r="D3" s="372"/>
      <c r="R3" s="416"/>
    </row>
    <row r="4" spans="1:18" s="371" customFormat="1" ht="11.25" hidden="1" customHeight="1">
      <c r="A4" s="370" t="e">
        <f>#REF!</f>
        <v>#REF!</v>
      </c>
      <c r="B4" s="370" t="e">
        <f>#REF!</f>
        <v>#REF!</v>
      </c>
      <c r="C4" s="370"/>
      <c r="D4" s="372"/>
      <c r="R4" s="416"/>
    </row>
    <row r="5" spans="1:18" s="371" customFormat="1" ht="11.25" hidden="1" customHeight="1">
      <c r="D5" s="372"/>
      <c r="R5" s="416"/>
    </row>
    <row r="6" spans="1:18" s="373" customFormat="1" ht="11.25" hidden="1" customHeight="1">
      <c r="D6" s="374"/>
      <c r="H6" s="374"/>
      <c r="I6" s="374"/>
    </row>
    <row r="7" spans="1:18">
      <c r="J7" s="604" t="s">
        <v>693</v>
      </c>
    </row>
    <row r="8" spans="1:18" ht="12.75">
      <c r="C8" s="595"/>
      <c r="D8" s="598"/>
      <c r="E8" s="599"/>
      <c r="F8" s="600"/>
      <c r="G8" s="600"/>
      <c r="H8" s="601"/>
      <c r="I8" s="602"/>
      <c r="J8" s="420"/>
    </row>
    <row r="9" spans="1:18" ht="14.25" customHeight="1">
      <c r="C9" s="421"/>
      <c r="D9" s="727" t="s">
        <v>236</v>
      </c>
      <c r="E9" s="728"/>
      <c r="F9" s="728"/>
      <c r="G9" s="728"/>
      <c r="H9" s="728"/>
      <c r="I9" s="728"/>
      <c r="J9" s="750"/>
    </row>
    <row r="10" spans="1:18" ht="14.25" customHeight="1">
      <c r="C10" s="421"/>
      <c r="D10" s="727"/>
      <c r="E10" s="728"/>
      <c r="F10" s="728"/>
      <c r="G10" s="728"/>
      <c r="H10" s="728"/>
      <c r="I10" s="728"/>
      <c r="J10" s="750"/>
    </row>
    <row r="11" spans="1:18" ht="14.25" customHeight="1">
      <c r="C11" s="421"/>
      <c r="D11" s="748" t="s">
        <v>734</v>
      </c>
      <c r="E11" s="749"/>
      <c r="F11" s="749"/>
      <c r="G11" s="749"/>
      <c r="H11" s="749"/>
      <c r="I11" s="749"/>
      <c r="J11" s="377"/>
    </row>
    <row r="12" spans="1:18" ht="14.25" customHeight="1" thickBot="1">
      <c r="C12" s="421"/>
      <c r="D12" s="596"/>
      <c r="E12" s="597"/>
      <c r="F12" s="597"/>
      <c r="G12" s="597"/>
      <c r="H12" s="597"/>
      <c r="I12" s="597"/>
      <c r="J12" s="377"/>
    </row>
    <row r="13" spans="1:18" ht="45">
      <c r="C13" s="421"/>
      <c r="D13" s="422" t="s">
        <v>179</v>
      </c>
      <c r="E13" s="423" t="s">
        <v>4</v>
      </c>
      <c r="F13" s="423" t="s">
        <v>180</v>
      </c>
      <c r="G13" s="424" t="s">
        <v>181</v>
      </c>
      <c r="H13" s="424" t="s">
        <v>6</v>
      </c>
      <c r="I13" s="424" t="s">
        <v>810</v>
      </c>
      <c r="J13" s="384" t="s">
        <v>621</v>
      </c>
    </row>
    <row r="14" spans="1:18">
      <c r="C14" s="421"/>
      <c r="D14" s="425">
        <v>1</v>
      </c>
      <c r="E14" s="426">
        <v>2</v>
      </c>
      <c r="F14" s="426">
        <v>3</v>
      </c>
      <c r="G14" s="426">
        <v>4</v>
      </c>
      <c r="H14" s="426">
        <v>5</v>
      </c>
      <c r="I14" s="426">
        <v>6</v>
      </c>
      <c r="J14" s="388"/>
    </row>
    <row r="15" spans="1:18">
      <c r="C15" s="421"/>
      <c r="D15" s="446" t="s">
        <v>182</v>
      </c>
      <c r="E15" s="428" t="s">
        <v>237</v>
      </c>
      <c r="F15" s="426" t="s">
        <v>184</v>
      </c>
      <c r="G15" s="429"/>
      <c r="H15" s="429"/>
      <c r="I15" s="430">
        <f>'Численность АУП, ИТР'!G21</f>
        <v>0.8674060595094627</v>
      </c>
      <c r="J15" s="388"/>
    </row>
    <row r="16" spans="1:18">
      <c r="C16" s="421"/>
      <c r="D16" s="446" t="s">
        <v>185</v>
      </c>
      <c r="E16" s="431" t="s">
        <v>186</v>
      </c>
      <c r="F16" s="426"/>
      <c r="G16" s="432"/>
      <c r="H16" s="432"/>
      <c r="I16" s="433"/>
      <c r="J16" s="388"/>
    </row>
    <row r="17" spans="3:10" ht="22.5">
      <c r="C17" s="421"/>
      <c r="D17" s="447" t="s">
        <v>187</v>
      </c>
      <c r="E17" s="431" t="s">
        <v>188</v>
      </c>
      <c r="F17" s="426" t="s">
        <v>189</v>
      </c>
      <c r="G17" s="429"/>
      <c r="H17" s="429"/>
      <c r="I17" s="430">
        <v>7432</v>
      </c>
      <c r="J17" s="388"/>
    </row>
    <row r="18" spans="3:10">
      <c r="C18" s="421"/>
      <c r="D18" s="447"/>
      <c r="E18" s="431" t="s">
        <v>190</v>
      </c>
      <c r="F18" s="426"/>
      <c r="G18" s="429"/>
      <c r="H18" s="429"/>
      <c r="I18" s="430">
        <v>1.0489999999999999</v>
      </c>
      <c r="J18" s="388"/>
    </row>
    <row r="19" spans="3:10" ht="22.5">
      <c r="C19" s="421"/>
      <c r="D19" s="447"/>
      <c r="E19" s="431" t="s">
        <v>191</v>
      </c>
      <c r="F19" s="426" t="s">
        <v>189</v>
      </c>
      <c r="G19" s="435">
        <f>G17*G18</f>
        <v>0</v>
      </c>
      <c r="H19" s="435">
        <f>H17*H18</f>
        <v>0</v>
      </c>
      <c r="I19" s="433">
        <f>I17*I18</f>
        <v>7796.1679999999997</v>
      </c>
      <c r="J19" s="388"/>
    </row>
    <row r="20" spans="3:10" ht="22.5">
      <c r="C20" s="421"/>
      <c r="D20" s="446" t="s">
        <v>192</v>
      </c>
      <c r="E20" s="431" t="s">
        <v>193</v>
      </c>
      <c r="F20" s="426"/>
      <c r="G20" s="429"/>
      <c r="H20" s="429"/>
      <c r="I20" s="430">
        <v>1</v>
      </c>
      <c r="J20" s="388"/>
    </row>
    <row r="21" spans="3:10" ht="33.75">
      <c r="C21" s="421"/>
      <c r="D21" s="446" t="s">
        <v>194</v>
      </c>
      <c r="E21" s="431" t="s">
        <v>195</v>
      </c>
      <c r="F21" s="426" t="s">
        <v>189</v>
      </c>
      <c r="G21" s="435">
        <f>G19*G20</f>
        <v>0</v>
      </c>
      <c r="H21" s="435">
        <f>H19*H20</f>
        <v>0</v>
      </c>
      <c r="I21" s="433">
        <f>I19*I20</f>
        <v>7796.1679999999997</v>
      </c>
      <c r="J21" s="388"/>
    </row>
    <row r="22" spans="3:10">
      <c r="C22" s="421"/>
      <c r="D22" s="446" t="s">
        <v>196</v>
      </c>
      <c r="E22" s="436" t="s">
        <v>197</v>
      </c>
      <c r="F22" s="426"/>
      <c r="G22" s="429"/>
      <c r="H22" s="429"/>
      <c r="I22" s="430">
        <v>10</v>
      </c>
      <c r="J22" s="388"/>
    </row>
    <row r="23" spans="3:10" ht="33.75">
      <c r="C23" s="421"/>
      <c r="D23" s="446" t="s">
        <v>198</v>
      </c>
      <c r="E23" s="431" t="s">
        <v>199</v>
      </c>
      <c r="F23" s="426"/>
      <c r="G23" s="429"/>
      <c r="H23" s="429"/>
      <c r="I23" s="430">
        <v>3.99</v>
      </c>
      <c r="J23" s="388"/>
    </row>
    <row r="24" spans="3:10" ht="22.5">
      <c r="C24" s="421"/>
      <c r="D24" s="446" t="s">
        <v>200</v>
      </c>
      <c r="E24" s="431" t="s">
        <v>201</v>
      </c>
      <c r="F24" s="426" t="s">
        <v>189</v>
      </c>
      <c r="G24" s="435">
        <f>G21*G23</f>
        <v>0</v>
      </c>
      <c r="H24" s="435">
        <f>H21*H23</f>
        <v>0</v>
      </c>
      <c r="I24" s="433">
        <f>I23*I18*I17</f>
        <v>31106.710319999998</v>
      </c>
      <c r="J24" s="388"/>
    </row>
    <row r="25" spans="3:10" ht="24.75" customHeight="1">
      <c r="C25" s="421"/>
      <c r="D25" s="446" t="s">
        <v>202</v>
      </c>
      <c r="E25" s="431" t="s">
        <v>203</v>
      </c>
      <c r="F25" s="426"/>
      <c r="G25" s="432"/>
      <c r="H25" s="432"/>
      <c r="I25" s="433"/>
      <c r="J25" s="388"/>
    </row>
    <row r="26" spans="3:10" ht="12.75" customHeight="1">
      <c r="C26" s="421"/>
      <c r="D26" s="446" t="s">
        <v>204</v>
      </c>
      <c r="E26" s="431" t="s">
        <v>205</v>
      </c>
      <c r="F26" s="426" t="s">
        <v>51</v>
      </c>
      <c r="G26" s="429"/>
      <c r="H26" s="429"/>
      <c r="I26" s="430">
        <v>0</v>
      </c>
      <c r="J26" s="388"/>
    </row>
    <row r="27" spans="3:10" ht="12.75" customHeight="1">
      <c r="C27" s="421"/>
      <c r="D27" s="446" t="s">
        <v>206</v>
      </c>
      <c r="E27" s="431" t="s">
        <v>207</v>
      </c>
      <c r="F27" s="426" t="s">
        <v>189</v>
      </c>
      <c r="G27" s="435">
        <f>G24*G26/100</f>
        <v>0</v>
      </c>
      <c r="H27" s="435">
        <f>H24*H26/100</f>
        <v>0</v>
      </c>
      <c r="I27" s="433">
        <f>I24*I26/100</f>
        <v>0</v>
      </c>
      <c r="J27" s="388"/>
    </row>
    <row r="28" spans="3:10" ht="13.5" customHeight="1">
      <c r="C28" s="421"/>
      <c r="D28" s="446" t="s">
        <v>208</v>
      </c>
      <c r="E28" s="431" t="s">
        <v>209</v>
      </c>
      <c r="F28" s="426"/>
      <c r="G28" s="432"/>
      <c r="H28" s="432"/>
      <c r="I28" s="433"/>
      <c r="J28" s="388"/>
    </row>
    <row r="29" spans="3:10" ht="12.75" customHeight="1">
      <c r="C29" s="421"/>
      <c r="D29" s="446" t="s">
        <v>210</v>
      </c>
      <c r="E29" s="431" t="s">
        <v>205</v>
      </c>
      <c r="F29" s="426" t="s">
        <v>51</v>
      </c>
      <c r="G29" s="429"/>
      <c r="H29" s="429"/>
      <c r="I29" s="430">
        <v>75</v>
      </c>
      <c r="J29" s="388"/>
    </row>
    <row r="30" spans="3:10" ht="12.75" customHeight="1">
      <c r="C30" s="421"/>
      <c r="D30" s="446" t="s">
        <v>211</v>
      </c>
      <c r="E30" s="431" t="s">
        <v>207</v>
      </c>
      <c r="F30" s="426" t="s">
        <v>189</v>
      </c>
      <c r="G30" s="435">
        <f>(G24+G27)*G29/100</f>
        <v>0</v>
      </c>
      <c r="H30" s="435">
        <f>(H24+H27)*H29/100</f>
        <v>0</v>
      </c>
      <c r="I30" s="433">
        <f>(I24+I27)*I29/100</f>
        <v>23330.032739999999</v>
      </c>
      <c r="J30" s="388"/>
    </row>
    <row r="31" spans="3:10" ht="12.75" customHeight="1">
      <c r="C31" s="421"/>
      <c r="D31" s="446" t="s">
        <v>212</v>
      </c>
      <c r="E31" s="431" t="s">
        <v>213</v>
      </c>
      <c r="F31" s="426"/>
      <c r="G31" s="432"/>
      <c r="H31" s="432"/>
      <c r="I31" s="433"/>
      <c r="J31" s="388"/>
    </row>
    <row r="32" spans="3:10" ht="13.5" customHeight="1">
      <c r="C32" s="421"/>
      <c r="D32" s="446" t="s">
        <v>214</v>
      </c>
      <c r="E32" s="431" t="s">
        <v>205</v>
      </c>
      <c r="F32" s="426" t="s">
        <v>51</v>
      </c>
      <c r="G32" s="429"/>
      <c r="H32" s="429"/>
      <c r="I32" s="430">
        <v>15</v>
      </c>
      <c r="J32" s="388"/>
    </row>
    <row r="33" spans="1:12" ht="12" customHeight="1">
      <c r="C33" s="421"/>
      <c r="D33" s="446" t="s">
        <v>215</v>
      </c>
      <c r="E33" s="431" t="s">
        <v>207</v>
      </c>
      <c r="F33" s="426" t="s">
        <v>189</v>
      </c>
      <c r="G33" s="435">
        <f>G24*G32/100</f>
        <v>0</v>
      </c>
      <c r="H33" s="435">
        <f>H24*H32/100</f>
        <v>0</v>
      </c>
      <c r="I33" s="433">
        <f>I24*I32/100</f>
        <v>4666.0065479999994</v>
      </c>
      <c r="J33" s="388"/>
    </row>
    <row r="34" spans="1:12" ht="11.25" customHeight="1">
      <c r="C34" s="421"/>
      <c r="D34" s="446" t="s">
        <v>216</v>
      </c>
      <c r="E34" s="431" t="s">
        <v>217</v>
      </c>
      <c r="F34" s="426"/>
      <c r="G34" s="432"/>
      <c r="H34" s="432"/>
      <c r="I34" s="433"/>
      <c r="J34" s="388"/>
    </row>
    <row r="35" spans="1:12" ht="11.25" customHeight="1">
      <c r="C35" s="421"/>
      <c r="D35" s="446" t="s">
        <v>218</v>
      </c>
      <c r="E35" s="431" t="s">
        <v>205</v>
      </c>
      <c r="F35" s="426" t="s">
        <v>51</v>
      </c>
      <c r="G35" s="429"/>
      <c r="H35" s="429"/>
      <c r="I35" s="430">
        <v>33</v>
      </c>
      <c r="J35" s="388"/>
    </row>
    <row r="36" spans="1:12" ht="12.75" customHeight="1">
      <c r="C36" s="421"/>
      <c r="D36" s="446" t="s">
        <v>219</v>
      </c>
      <c r="E36" s="431" t="s">
        <v>207</v>
      </c>
      <c r="F36" s="426" t="s">
        <v>189</v>
      </c>
      <c r="G36" s="435">
        <f>G24*G35/100</f>
        <v>0</v>
      </c>
      <c r="H36" s="435">
        <f>H24*H35/100</f>
        <v>0</v>
      </c>
      <c r="I36" s="433">
        <f>I24*I35/100</f>
        <v>10265.2144056</v>
      </c>
      <c r="J36" s="388"/>
    </row>
    <row r="37" spans="1:12" ht="24" customHeight="1">
      <c r="C37" s="421"/>
      <c r="D37" s="446" t="s">
        <v>220</v>
      </c>
      <c r="E37" s="431" t="s">
        <v>221</v>
      </c>
      <c r="F37" s="426"/>
      <c r="G37" s="432"/>
      <c r="H37" s="432"/>
      <c r="I37" s="433"/>
      <c r="J37" s="388"/>
    </row>
    <row r="38" spans="1:12" ht="12.75" customHeight="1">
      <c r="C38" s="421"/>
      <c r="D38" s="446" t="s">
        <v>222</v>
      </c>
      <c r="E38" s="431" t="s">
        <v>205</v>
      </c>
      <c r="F38" s="426" t="s">
        <v>51</v>
      </c>
      <c r="G38" s="429"/>
      <c r="H38" s="429"/>
      <c r="I38" s="430">
        <v>0</v>
      </c>
      <c r="J38" s="388"/>
    </row>
    <row r="39" spans="1:12" ht="12" customHeight="1">
      <c r="C39" s="421"/>
      <c r="D39" s="446" t="s">
        <v>223</v>
      </c>
      <c r="E39" s="431" t="s">
        <v>207</v>
      </c>
      <c r="F39" s="426" t="s">
        <v>189</v>
      </c>
      <c r="G39" s="435">
        <f>G24*G38/100</f>
        <v>0</v>
      </c>
      <c r="H39" s="435">
        <f>H24*H38/100</f>
        <v>0</v>
      </c>
      <c r="I39" s="433">
        <f>I24*I38/100</f>
        <v>0</v>
      </c>
      <c r="J39" s="388"/>
    </row>
    <row r="40" spans="1:12" ht="24" customHeight="1">
      <c r="C40" s="421"/>
      <c r="D40" s="446" t="s">
        <v>224</v>
      </c>
      <c r="E40" s="431" t="s">
        <v>225</v>
      </c>
      <c r="F40" s="426"/>
      <c r="G40" s="432"/>
      <c r="H40" s="432"/>
      <c r="I40" s="433"/>
      <c r="J40" s="388"/>
    </row>
    <row r="41" spans="1:12" ht="12" customHeight="1">
      <c r="C41" s="421"/>
      <c r="D41" s="446" t="s">
        <v>226</v>
      </c>
      <c r="E41" s="431" t="s">
        <v>205</v>
      </c>
      <c r="F41" s="426" t="s">
        <v>51</v>
      </c>
      <c r="G41" s="429"/>
      <c r="H41" s="429"/>
      <c r="I41" s="430">
        <v>15</v>
      </c>
      <c r="J41" s="388"/>
    </row>
    <row r="42" spans="1:12" ht="12.75" customHeight="1">
      <c r="C42" s="421"/>
      <c r="D42" s="446" t="s">
        <v>227</v>
      </c>
      <c r="E42" s="431" t="s">
        <v>207</v>
      </c>
      <c r="F42" s="426" t="s">
        <v>189</v>
      </c>
      <c r="G42" s="435">
        <f>(G24+G27+G30+G33+G36+G39)*G41/100</f>
        <v>0</v>
      </c>
      <c r="H42" s="435">
        <f>(H24+H27+H30+H33+H36+H39)*H41/100</f>
        <v>0</v>
      </c>
      <c r="I42" s="433">
        <f>(I24+I27+I30+I33+I36+I39)*I41/100</f>
        <v>10405.194602039999</v>
      </c>
      <c r="J42" s="388"/>
    </row>
    <row r="43" spans="1:12" ht="22.5">
      <c r="C43" s="421"/>
      <c r="D43" s="446" t="s">
        <v>228</v>
      </c>
      <c r="E43" s="431" t="s">
        <v>229</v>
      </c>
      <c r="F43" s="426" t="s">
        <v>189</v>
      </c>
      <c r="G43" s="435">
        <f>G24+G27+G30+G33+G36+G39+G42</f>
        <v>0</v>
      </c>
      <c r="H43" s="435">
        <f>H24+H27+H30+H33+H36+H39+H42</f>
        <v>0</v>
      </c>
      <c r="I43" s="433">
        <f>I24+I27+I30+I33+I36+I39+I42</f>
        <v>79773.158615639986</v>
      </c>
      <c r="J43" s="388"/>
    </row>
    <row r="44" spans="1:12" ht="33.75">
      <c r="C44" s="421"/>
      <c r="D44" s="446"/>
      <c r="E44" s="431" t="s">
        <v>230</v>
      </c>
      <c r="F44" s="426" t="s">
        <v>231</v>
      </c>
      <c r="G44" s="429"/>
      <c r="H44" s="429"/>
      <c r="I44" s="430">
        <v>12</v>
      </c>
      <c r="J44" s="388"/>
    </row>
    <row r="45" spans="1:12" s="405" customFormat="1" ht="33.75">
      <c r="A45" s="400"/>
      <c r="B45" s="400"/>
      <c r="C45" s="437"/>
      <c r="D45" s="446">
        <v>3</v>
      </c>
      <c r="E45" s="431" t="s">
        <v>232</v>
      </c>
      <c r="F45" s="426" t="s">
        <v>233</v>
      </c>
      <c r="G45" s="435">
        <f>G15*G43*G44/1000</f>
        <v>0</v>
      </c>
      <c r="H45" s="435">
        <f>H15*H43*H44/1000</f>
        <v>0</v>
      </c>
      <c r="I45" s="433">
        <f>I15*I43*I44/1000</f>
        <v>830.3486540329875</v>
      </c>
      <c r="J45" s="403"/>
      <c r="L45" s="448"/>
    </row>
    <row r="46" spans="1:12" ht="12.95" customHeight="1">
      <c r="C46" s="421"/>
      <c r="D46" s="746">
        <v>4</v>
      </c>
      <c r="E46" s="735" t="s">
        <v>123</v>
      </c>
      <c r="F46" s="426" t="s">
        <v>51</v>
      </c>
      <c r="G46" s="429"/>
      <c r="H46" s="429"/>
      <c r="I46" s="430">
        <v>30.3</v>
      </c>
      <c r="J46" s="388"/>
    </row>
    <row r="47" spans="1:12" ht="12" thickBot="1">
      <c r="C47" s="421"/>
      <c r="D47" s="747"/>
      <c r="E47" s="736"/>
      <c r="F47" s="439" t="s">
        <v>233</v>
      </c>
      <c r="G47" s="440">
        <f>G45*G46/100</f>
        <v>0</v>
      </c>
      <c r="H47" s="440">
        <f>H45*H46/100</f>
        <v>0</v>
      </c>
      <c r="I47" s="441">
        <f>I45*I46/100</f>
        <v>251.59564217199519</v>
      </c>
      <c r="J47" s="409"/>
    </row>
    <row r="48" spans="1:12">
      <c r="C48" s="442"/>
      <c r="D48" s="444"/>
      <c r="E48" s="443"/>
      <c r="F48" s="443"/>
      <c r="G48" s="443"/>
      <c r="H48" s="444"/>
      <c r="I48" s="444"/>
      <c r="J48" s="445"/>
    </row>
  </sheetData>
  <sheetProtection selectLockedCells="1" selectUnlockedCells="1"/>
  <protectedRanges>
    <protectedRange sqref="I17:I18" name="p10_edit_5"/>
    <protectedRange sqref="I22:I23" name="p10_edit_1_1"/>
    <protectedRange sqref="I26" name="p10_edit_2_1"/>
    <protectedRange sqref="I29" name="p10_edit_3_1"/>
    <protectedRange sqref="I41" name="p10_edit_4_1"/>
  </protectedRanges>
  <mergeCells count="4">
    <mergeCell ref="D46:D47"/>
    <mergeCell ref="E46:E47"/>
    <mergeCell ref="D11:I11"/>
    <mergeCell ref="D9:J10"/>
  </mergeCells>
  <phoneticPr fontId="23" type="noConversion"/>
  <dataValidations count="5">
    <dataValidation type="decimal" allowBlank="1" showErrorMessage="1" sqref="G17:H19 G22:H23 G26:H26 G29:H29 G32:H32 G35:H35 G38:H38 G41:H41 G44:H44 G46:H46 G15:H15">
      <formula1>-9.99999999999999E+26</formula1>
      <formula2>9.99999999999999E+30</formula2>
    </dataValidation>
    <dataValidation type="decimal" allowBlank="1" showInputMessage="1" showErrorMessage="1" sqref="I15 I17:I19 I22:I23">
      <formula1>-9.99999999999999E+24</formula1>
      <formula2>9.99999999999999E+26</formula2>
    </dataValidation>
    <dataValidation type="decimal" allowBlank="1" showInputMessage="1" showErrorMessage="1" sqref="I35 I32 I26 I29">
      <formula1>-9.99999999999999E+22</formula1>
      <formula2>9.99999999999999E+23</formula2>
    </dataValidation>
    <dataValidation type="decimal" allowBlank="1" showInputMessage="1" showErrorMessage="1" sqref="I41 I38 I46">
      <formula1>-9.99999999999999E+26</formula1>
      <formula2>9.99999999999999E+27</formula2>
    </dataValidation>
    <dataValidation type="decimal" allowBlank="1" showInputMessage="1" showErrorMessage="1" sqref="I44">
      <formula1>-9.99999999999999E+26</formula1>
      <formula2>9.99999999999999E+25</formula2>
    </dataValidation>
  </dataValidations>
  <pageMargins left="0.19652777777777777" right="0.19652777777777777" top="0" bottom="0" header="0.51180555555555551" footer="0.51180555555555551"/>
  <pageSetup paperSize="9" scale="95" firstPageNumber="0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M77"/>
  <sheetViews>
    <sheetView workbookViewId="0">
      <selection sqref="A1:L77"/>
    </sheetView>
  </sheetViews>
  <sheetFormatPr defaultRowHeight="12.75"/>
  <cols>
    <col min="1" max="1" width="41.140625" style="451" customWidth="1"/>
    <col min="2" max="3" width="9.140625" style="451"/>
    <col min="4" max="4" width="10.140625" style="451" bestFit="1" customWidth="1"/>
    <col min="5" max="5" width="10.42578125" style="451" customWidth="1"/>
    <col min="6" max="6" width="11" style="451" customWidth="1"/>
    <col min="7" max="7" width="3.5703125" style="451" customWidth="1"/>
    <col min="8" max="16384" width="9.140625" style="451"/>
  </cols>
  <sheetData>
    <row r="1" spans="1:13" s="449" customFormat="1">
      <c r="A1" s="449" t="s">
        <v>734</v>
      </c>
    </row>
    <row r="2" spans="1:13" ht="14.25">
      <c r="A2" s="449" t="s">
        <v>610</v>
      </c>
      <c r="B2" s="449"/>
      <c r="C2" s="450"/>
      <c r="D2" s="450"/>
      <c r="E2" s="450"/>
    </row>
    <row r="3" spans="1:13" ht="16.5" customHeight="1" thickBot="1">
      <c r="A3" s="452"/>
      <c r="B3" s="449"/>
      <c r="C3" s="453"/>
      <c r="D3" s="453"/>
      <c r="E3" s="453"/>
    </row>
    <row r="4" spans="1:13" ht="14.25">
      <c r="A4" s="454" t="s">
        <v>609</v>
      </c>
      <c r="B4" s="455"/>
      <c r="C4" s="456" t="s">
        <v>600</v>
      </c>
      <c r="D4" s="456" t="s">
        <v>601</v>
      </c>
      <c r="E4" s="457" t="s">
        <v>602</v>
      </c>
      <c r="F4" s="458" t="s">
        <v>621</v>
      </c>
      <c r="H4" s="451" t="s">
        <v>697</v>
      </c>
      <c r="J4" s="451" t="s">
        <v>27</v>
      </c>
      <c r="L4" s="451" t="s">
        <v>698</v>
      </c>
      <c r="M4" s="451" t="s">
        <v>699</v>
      </c>
    </row>
    <row r="5" spans="1:13">
      <c r="A5" s="459" t="s">
        <v>587</v>
      </c>
      <c r="B5" s="460"/>
      <c r="C5" s="461" t="s">
        <v>326</v>
      </c>
      <c r="D5" s="461" t="s">
        <v>326</v>
      </c>
      <c r="E5" s="462">
        <f>C12*D13</f>
        <v>435084.10649999994</v>
      </c>
      <c r="F5" s="463"/>
      <c r="H5" s="451" t="s">
        <v>700</v>
      </c>
      <c r="J5" s="451">
        <v>1</v>
      </c>
      <c r="L5" s="451">
        <v>7.0000000000000001E-3</v>
      </c>
      <c r="M5" s="451">
        <f t="shared" ref="M5:M14" si="0">J5*L5</f>
        <v>7.0000000000000001E-3</v>
      </c>
    </row>
    <row r="6" spans="1:13">
      <c r="A6" s="464" t="s">
        <v>608</v>
      </c>
      <c r="B6" s="465" t="s">
        <v>585</v>
      </c>
      <c r="C6" s="461">
        <f>'Расчет на долгосрочный период'!F56*1000</f>
        <v>8550</v>
      </c>
      <c r="D6" s="461" t="s">
        <v>326</v>
      </c>
      <c r="E6" s="462" t="s">
        <v>326</v>
      </c>
      <c r="F6" s="463"/>
      <c r="H6" s="451" t="s">
        <v>701</v>
      </c>
      <c r="J6" s="451">
        <v>1</v>
      </c>
      <c r="L6" s="451">
        <v>0.01</v>
      </c>
      <c r="M6" s="451">
        <f t="shared" si="0"/>
        <v>0.01</v>
      </c>
    </row>
    <row r="7" spans="1:13" hidden="1">
      <c r="A7" s="466"/>
      <c r="B7" s="460"/>
      <c r="C7" s="461"/>
      <c r="D7" s="461"/>
      <c r="E7" s="462"/>
      <c r="F7" s="463"/>
      <c r="M7" s="451">
        <f t="shared" si="0"/>
        <v>0</v>
      </c>
    </row>
    <row r="8" spans="1:13" hidden="1">
      <c r="A8" s="466"/>
      <c r="B8" s="460"/>
      <c r="C8" s="461"/>
      <c r="D8" s="461"/>
      <c r="E8" s="462"/>
      <c r="F8" s="463"/>
      <c r="M8" s="451">
        <f t="shared" si="0"/>
        <v>0</v>
      </c>
    </row>
    <row r="9" spans="1:13" hidden="1">
      <c r="A9" s="466"/>
      <c r="B9" s="460"/>
      <c r="C9" s="461"/>
      <c r="D9" s="461"/>
      <c r="E9" s="462"/>
      <c r="F9" s="463"/>
      <c r="M9" s="451">
        <f t="shared" si="0"/>
        <v>0</v>
      </c>
    </row>
    <row r="10" spans="1:13" hidden="1">
      <c r="A10" s="466"/>
      <c r="B10" s="460"/>
      <c r="C10" s="461"/>
      <c r="D10" s="461"/>
      <c r="E10" s="462"/>
      <c r="F10" s="463"/>
      <c r="M10" s="451">
        <f t="shared" si="0"/>
        <v>0</v>
      </c>
    </row>
    <row r="11" spans="1:13">
      <c r="A11" s="464" t="s">
        <v>607</v>
      </c>
      <c r="B11" s="461" t="s">
        <v>588</v>
      </c>
      <c r="C11" s="467">
        <f>M16</f>
        <v>0.58699999999999997</v>
      </c>
      <c r="D11" s="461" t="s">
        <v>326</v>
      </c>
      <c r="E11" s="462" t="s">
        <v>326</v>
      </c>
      <c r="F11" s="463" t="s">
        <v>706</v>
      </c>
      <c r="H11" s="451" t="s">
        <v>702</v>
      </c>
      <c r="J11" s="451">
        <v>3</v>
      </c>
      <c r="L11" s="451">
        <v>1.2E-2</v>
      </c>
      <c r="M11" s="451">
        <f t="shared" si="0"/>
        <v>3.6000000000000004E-2</v>
      </c>
    </row>
    <row r="12" spans="1:13">
      <c r="A12" s="464" t="s">
        <v>589</v>
      </c>
      <c r="B12" s="461" t="s">
        <v>588</v>
      </c>
      <c r="C12" s="461">
        <f>C6*C11</f>
        <v>5018.8499999999995</v>
      </c>
      <c r="D12" s="461" t="s">
        <v>326</v>
      </c>
      <c r="E12" s="462" t="s">
        <v>326</v>
      </c>
      <c r="F12" s="463"/>
      <c r="H12" s="451" t="s">
        <v>703</v>
      </c>
      <c r="J12" s="451">
        <v>17</v>
      </c>
      <c r="L12" s="451">
        <v>1.7999999999999999E-2</v>
      </c>
      <c r="M12" s="451">
        <f t="shared" si="0"/>
        <v>0.30599999999999999</v>
      </c>
    </row>
    <row r="13" spans="1:13">
      <c r="A13" s="464" t="s">
        <v>606</v>
      </c>
      <c r="B13" s="461" t="s">
        <v>586</v>
      </c>
      <c r="C13" s="461" t="s">
        <v>326</v>
      </c>
      <c r="D13" s="468">
        <v>86.69</v>
      </c>
      <c r="E13" s="462" t="s">
        <v>326</v>
      </c>
      <c r="F13" s="463"/>
      <c r="H13" s="451" t="s">
        <v>704</v>
      </c>
      <c r="J13" s="451">
        <v>6</v>
      </c>
      <c r="L13" s="451">
        <v>2.8000000000000001E-2</v>
      </c>
      <c r="M13" s="451">
        <f t="shared" si="0"/>
        <v>0.16800000000000001</v>
      </c>
    </row>
    <row r="14" spans="1:13">
      <c r="A14" s="466" t="s">
        <v>611</v>
      </c>
      <c r="B14" s="460"/>
      <c r="C14" s="460"/>
      <c r="D14" s="460"/>
      <c r="E14" s="469"/>
      <c r="F14" s="463"/>
      <c r="H14" s="451" t="s">
        <v>705</v>
      </c>
      <c r="J14" s="451">
        <v>2</v>
      </c>
      <c r="L14" s="451">
        <v>0.03</v>
      </c>
      <c r="M14" s="451">
        <f t="shared" si="0"/>
        <v>0.06</v>
      </c>
    </row>
    <row r="15" spans="1:13" ht="13.5" thickBot="1">
      <c r="A15" s="466" t="s">
        <v>38</v>
      </c>
      <c r="B15" s="470"/>
      <c r="C15" s="470"/>
      <c r="D15" s="470"/>
      <c r="E15" s="471"/>
      <c r="F15" s="463"/>
    </row>
    <row r="16" spans="1:13" ht="15.75" thickBot="1">
      <c r="A16" s="472" t="s">
        <v>707</v>
      </c>
      <c r="B16" s="473"/>
      <c r="C16" s="474"/>
      <c r="D16" s="474"/>
      <c r="E16" s="644">
        <f>(E5+E14+E15)/1000</f>
        <v>435.08410649999996</v>
      </c>
      <c r="F16" s="475"/>
      <c r="H16" s="451" t="s">
        <v>64</v>
      </c>
      <c r="M16" s="451">
        <f>SUM(M5:M14)</f>
        <v>0.58699999999999997</v>
      </c>
    </row>
    <row r="17" spans="1:6" ht="13.5" thickBot="1">
      <c r="A17" s="449"/>
      <c r="B17" s="449"/>
      <c r="C17" s="449"/>
      <c r="D17" s="449"/>
      <c r="E17" s="449"/>
    </row>
    <row r="18" spans="1:6" ht="14.25">
      <c r="A18" s="454" t="s">
        <v>794</v>
      </c>
      <c r="B18" s="455"/>
      <c r="C18" s="456" t="s">
        <v>600</v>
      </c>
      <c r="D18" s="456" t="s">
        <v>601</v>
      </c>
      <c r="E18" s="457" t="s">
        <v>602</v>
      </c>
      <c r="F18" s="458" t="s">
        <v>621</v>
      </c>
    </row>
    <row r="19" spans="1:6">
      <c r="A19" s="466" t="s">
        <v>611</v>
      </c>
      <c r="B19" s="460"/>
      <c r="C19" s="460"/>
      <c r="D19" s="460"/>
      <c r="E19" s="469"/>
      <c r="F19" s="463"/>
    </row>
    <row r="20" spans="1:6">
      <c r="A20" s="610" t="s">
        <v>756</v>
      </c>
      <c r="B20" s="606" t="s">
        <v>28</v>
      </c>
      <c r="C20" s="606">
        <v>1</v>
      </c>
      <c r="D20" s="607">
        <v>9204</v>
      </c>
      <c r="E20" s="614">
        <f>D20*C20</f>
        <v>9204</v>
      </c>
      <c r="F20" s="463"/>
    </row>
    <row r="21" spans="1:6">
      <c r="A21" s="610" t="s">
        <v>757</v>
      </c>
      <c r="B21" s="606" t="s">
        <v>28</v>
      </c>
      <c r="C21" s="606">
        <v>1</v>
      </c>
      <c r="D21" s="607">
        <v>8500</v>
      </c>
      <c r="E21" s="614">
        <f>D21*C21</f>
        <v>8500</v>
      </c>
      <c r="F21" s="463"/>
    </row>
    <row r="22" spans="1:6">
      <c r="A22" s="611" t="s">
        <v>764</v>
      </c>
      <c r="B22" s="612" t="s">
        <v>28</v>
      </c>
      <c r="C22" s="613">
        <v>3</v>
      </c>
      <c r="D22" s="607">
        <v>290</v>
      </c>
      <c r="E22" s="614">
        <f>D22*C22</f>
        <v>870</v>
      </c>
      <c r="F22" s="463"/>
    </row>
    <row r="23" spans="1:6">
      <c r="A23" s="608" t="s">
        <v>765</v>
      </c>
      <c r="B23" s="606" t="s">
        <v>28</v>
      </c>
      <c r="C23" s="606">
        <v>1</v>
      </c>
      <c r="D23" s="607">
        <v>360</v>
      </c>
      <c r="E23" s="614">
        <f>D23*C23</f>
        <v>360</v>
      </c>
      <c r="F23" s="463"/>
    </row>
    <row r="24" spans="1:6">
      <c r="A24" s="620" t="s">
        <v>766</v>
      </c>
      <c r="B24" s="470" t="s">
        <v>28</v>
      </c>
      <c r="C24" s="495">
        <v>1</v>
      </c>
      <c r="D24" s="470">
        <v>240</v>
      </c>
      <c r="E24" s="496">
        <f t="shared" ref="E24:E54" si="1">D24*C24</f>
        <v>240</v>
      </c>
      <c r="F24" s="463"/>
    </row>
    <row r="25" spans="1:6">
      <c r="A25" s="616" t="s">
        <v>767</v>
      </c>
      <c r="B25" s="617" t="s">
        <v>28</v>
      </c>
      <c r="C25" s="617">
        <v>1</v>
      </c>
      <c r="D25" s="618">
        <v>311</v>
      </c>
      <c r="E25" s="619">
        <f t="shared" si="1"/>
        <v>311</v>
      </c>
      <c r="F25" s="463"/>
    </row>
    <row r="26" spans="1:6">
      <c r="A26" s="616" t="s">
        <v>768</v>
      </c>
      <c r="B26" s="617" t="s">
        <v>28</v>
      </c>
      <c r="C26" s="617">
        <v>6</v>
      </c>
      <c r="D26" s="618">
        <v>710</v>
      </c>
      <c r="E26" s="619">
        <f t="shared" si="1"/>
        <v>4260</v>
      </c>
      <c r="F26" s="463"/>
    </row>
    <row r="27" spans="1:6">
      <c r="A27" s="616" t="s">
        <v>769</v>
      </c>
      <c r="B27" s="617" t="s">
        <v>28</v>
      </c>
      <c r="C27" s="617">
        <v>60</v>
      </c>
      <c r="D27" s="618">
        <v>218.5</v>
      </c>
      <c r="E27" s="619">
        <f t="shared" si="1"/>
        <v>13110</v>
      </c>
      <c r="F27" s="463"/>
    </row>
    <row r="28" spans="1:6">
      <c r="A28" s="616" t="s">
        <v>770</v>
      </c>
      <c r="B28" s="617" t="s">
        <v>28</v>
      </c>
      <c r="C28" s="617">
        <v>81</v>
      </c>
      <c r="D28" s="618">
        <v>135</v>
      </c>
      <c r="E28" s="619">
        <f t="shared" si="1"/>
        <v>10935</v>
      </c>
      <c r="F28" s="463"/>
    </row>
    <row r="29" spans="1:6">
      <c r="A29" s="616" t="s">
        <v>771</v>
      </c>
      <c r="B29" s="617" t="s">
        <v>28</v>
      </c>
      <c r="C29" s="617">
        <v>84</v>
      </c>
      <c r="D29" s="618">
        <v>129</v>
      </c>
      <c r="E29" s="619">
        <f t="shared" si="1"/>
        <v>10836</v>
      </c>
      <c r="F29" s="463"/>
    </row>
    <row r="30" spans="1:6">
      <c r="A30" s="616" t="s">
        <v>772</v>
      </c>
      <c r="B30" s="617" t="s">
        <v>28</v>
      </c>
      <c r="C30" s="617">
        <v>84</v>
      </c>
      <c r="D30" s="618">
        <v>101</v>
      </c>
      <c r="E30" s="619">
        <f t="shared" si="1"/>
        <v>8484</v>
      </c>
      <c r="F30" s="463"/>
    </row>
    <row r="31" spans="1:6">
      <c r="A31" s="616" t="s">
        <v>773</v>
      </c>
      <c r="B31" s="617" t="s">
        <v>28</v>
      </c>
      <c r="C31" s="617">
        <v>11</v>
      </c>
      <c r="D31" s="618">
        <v>3315</v>
      </c>
      <c r="E31" s="619">
        <f t="shared" si="1"/>
        <v>36465</v>
      </c>
      <c r="F31" s="463"/>
    </row>
    <row r="32" spans="1:6">
      <c r="A32" s="616" t="s">
        <v>774</v>
      </c>
      <c r="B32" s="617" t="s">
        <v>28</v>
      </c>
      <c r="C32" s="617">
        <v>13</v>
      </c>
      <c r="D32" s="618">
        <v>3212</v>
      </c>
      <c r="E32" s="619">
        <f t="shared" si="1"/>
        <v>41756</v>
      </c>
      <c r="F32" s="463"/>
    </row>
    <row r="33" spans="1:6">
      <c r="A33" s="616" t="s">
        <v>775</v>
      </c>
      <c r="B33" s="617" t="s">
        <v>28</v>
      </c>
      <c r="C33" s="617">
        <v>10</v>
      </c>
      <c r="D33" s="618">
        <v>5129</v>
      </c>
      <c r="E33" s="619">
        <f t="shared" si="1"/>
        <v>51290</v>
      </c>
      <c r="F33" s="463"/>
    </row>
    <row r="34" spans="1:6">
      <c r="A34" s="616" t="s">
        <v>776</v>
      </c>
      <c r="B34" s="617" t="s">
        <v>28</v>
      </c>
      <c r="C34" s="617">
        <v>10</v>
      </c>
      <c r="D34" s="618">
        <v>2778</v>
      </c>
      <c r="E34" s="619">
        <f t="shared" si="1"/>
        <v>27780</v>
      </c>
      <c r="F34" s="463"/>
    </row>
    <row r="35" spans="1:6">
      <c r="A35" s="616" t="s">
        <v>777</v>
      </c>
      <c r="B35" s="617" t="s">
        <v>28</v>
      </c>
      <c r="C35" s="617">
        <v>18</v>
      </c>
      <c r="D35" s="618">
        <v>4078</v>
      </c>
      <c r="E35" s="619">
        <f t="shared" si="1"/>
        <v>73404</v>
      </c>
      <c r="F35" s="463"/>
    </row>
    <row r="36" spans="1:6">
      <c r="A36" s="616" t="s">
        <v>778</v>
      </c>
      <c r="B36" s="617" t="s">
        <v>28</v>
      </c>
      <c r="C36" s="617">
        <v>16</v>
      </c>
      <c r="D36" s="618">
        <v>3257</v>
      </c>
      <c r="E36" s="619">
        <f t="shared" si="1"/>
        <v>52112</v>
      </c>
      <c r="F36" s="463"/>
    </row>
    <row r="37" spans="1:6">
      <c r="A37" s="616" t="s">
        <v>779</v>
      </c>
      <c r="B37" s="617" t="s">
        <v>28</v>
      </c>
      <c r="C37" s="617">
        <v>18</v>
      </c>
      <c r="D37" s="618">
        <v>2191</v>
      </c>
      <c r="E37" s="619">
        <f t="shared" si="1"/>
        <v>39438</v>
      </c>
      <c r="F37" s="463"/>
    </row>
    <row r="38" spans="1:6">
      <c r="A38" s="616" t="s">
        <v>780</v>
      </c>
      <c r="B38" s="617" t="s">
        <v>28</v>
      </c>
      <c r="C38" s="617">
        <v>16</v>
      </c>
      <c r="D38" s="618">
        <v>2113</v>
      </c>
      <c r="E38" s="619">
        <f t="shared" si="1"/>
        <v>33808</v>
      </c>
      <c r="F38" s="463"/>
    </row>
    <row r="39" spans="1:6">
      <c r="A39" s="616" t="s">
        <v>781</v>
      </c>
      <c r="B39" s="617" t="s">
        <v>28</v>
      </c>
      <c r="C39" s="617">
        <v>12</v>
      </c>
      <c r="D39" s="618">
        <v>1744</v>
      </c>
      <c r="E39" s="619">
        <f t="shared" si="1"/>
        <v>20928</v>
      </c>
      <c r="F39" s="463"/>
    </row>
    <row r="40" spans="1:6">
      <c r="A40" s="616" t="s">
        <v>782</v>
      </c>
      <c r="B40" s="617" t="s">
        <v>28</v>
      </c>
      <c r="C40" s="617">
        <v>21</v>
      </c>
      <c r="D40" s="618">
        <v>1744</v>
      </c>
      <c r="E40" s="619">
        <f t="shared" si="1"/>
        <v>36624</v>
      </c>
      <c r="F40" s="463"/>
    </row>
    <row r="41" spans="1:6">
      <c r="A41" s="616" t="s">
        <v>778</v>
      </c>
      <c r="B41" s="617" t="s">
        <v>28</v>
      </c>
      <c r="C41" s="617">
        <v>15</v>
      </c>
      <c r="D41" s="618">
        <v>4994</v>
      </c>
      <c r="E41" s="619">
        <f t="shared" si="1"/>
        <v>74910</v>
      </c>
      <c r="F41" s="463"/>
    </row>
    <row r="42" spans="1:6">
      <c r="A42" s="616" t="s">
        <v>780</v>
      </c>
      <c r="B42" s="617" t="s">
        <v>28</v>
      </c>
      <c r="C42" s="617">
        <v>17</v>
      </c>
      <c r="D42" s="618">
        <v>1814</v>
      </c>
      <c r="E42" s="619">
        <f t="shared" si="1"/>
        <v>30838</v>
      </c>
      <c r="F42" s="463"/>
    </row>
    <row r="43" spans="1:6">
      <c r="A43" s="616" t="s">
        <v>783</v>
      </c>
      <c r="B43" s="617" t="s">
        <v>28</v>
      </c>
      <c r="C43" s="617">
        <v>1</v>
      </c>
      <c r="D43" s="618">
        <v>3323</v>
      </c>
      <c r="E43" s="619">
        <f t="shared" si="1"/>
        <v>3323</v>
      </c>
      <c r="F43" s="463"/>
    </row>
    <row r="44" spans="1:6">
      <c r="A44" s="616" t="s">
        <v>784</v>
      </c>
      <c r="B44" s="617" t="s">
        <v>28</v>
      </c>
      <c r="C44" s="617">
        <v>1</v>
      </c>
      <c r="D44" s="618">
        <v>2600</v>
      </c>
      <c r="E44" s="619">
        <f t="shared" si="1"/>
        <v>2600</v>
      </c>
      <c r="F44" s="463"/>
    </row>
    <row r="45" spans="1:6">
      <c r="A45" s="616" t="s">
        <v>785</v>
      </c>
      <c r="B45" s="617" t="s">
        <v>28</v>
      </c>
      <c r="C45" s="617">
        <v>1</v>
      </c>
      <c r="D45" s="618">
        <v>166000</v>
      </c>
      <c r="E45" s="619">
        <f t="shared" si="1"/>
        <v>166000</v>
      </c>
      <c r="F45" s="463"/>
    </row>
    <row r="46" spans="1:6">
      <c r="A46" s="616" t="s">
        <v>786</v>
      </c>
      <c r="B46" s="617" t="s">
        <v>28</v>
      </c>
      <c r="C46" s="617">
        <v>3</v>
      </c>
      <c r="D46" s="618">
        <v>710</v>
      </c>
      <c r="E46" s="619">
        <f t="shared" si="1"/>
        <v>2130</v>
      </c>
      <c r="F46" s="463"/>
    </row>
    <row r="47" spans="1:6">
      <c r="A47" s="616" t="s">
        <v>787</v>
      </c>
      <c r="B47" s="617" t="s">
        <v>28</v>
      </c>
      <c r="C47" s="617">
        <v>9</v>
      </c>
      <c r="D47" s="618">
        <v>710</v>
      </c>
      <c r="E47" s="619">
        <f t="shared" si="1"/>
        <v>6390</v>
      </c>
      <c r="F47" s="463"/>
    </row>
    <row r="48" spans="1:6">
      <c r="A48" s="616" t="s">
        <v>788</v>
      </c>
      <c r="B48" s="617" t="s">
        <v>28</v>
      </c>
      <c r="C48" s="617">
        <v>6</v>
      </c>
      <c r="D48" s="618">
        <v>710</v>
      </c>
      <c r="E48" s="619">
        <f t="shared" si="1"/>
        <v>4260</v>
      </c>
      <c r="F48" s="463"/>
    </row>
    <row r="49" spans="1:8">
      <c r="A49" s="616" t="s">
        <v>789</v>
      </c>
      <c r="B49" s="617" t="s">
        <v>28</v>
      </c>
      <c r="C49" s="617">
        <v>6</v>
      </c>
      <c r="D49" s="618">
        <v>710</v>
      </c>
      <c r="E49" s="619">
        <f t="shared" si="1"/>
        <v>4260</v>
      </c>
      <c r="F49" s="463"/>
    </row>
    <row r="50" spans="1:8">
      <c r="A50" s="616" t="s">
        <v>790</v>
      </c>
      <c r="B50" s="617" t="s">
        <v>28</v>
      </c>
      <c r="C50" s="617">
        <v>2</v>
      </c>
      <c r="D50" s="618">
        <v>2900</v>
      </c>
      <c r="E50" s="619">
        <f t="shared" si="1"/>
        <v>5800</v>
      </c>
      <c r="F50" s="463"/>
    </row>
    <row r="51" spans="1:8">
      <c r="A51" s="616" t="s">
        <v>791</v>
      </c>
      <c r="B51" s="617" t="s">
        <v>28</v>
      </c>
      <c r="C51" s="617">
        <v>3</v>
      </c>
      <c r="D51" s="618">
        <v>710</v>
      </c>
      <c r="E51" s="619">
        <f t="shared" si="1"/>
        <v>2130</v>
      </c>
      <c r="F51" s="463"/>
    </row>
    <row r="52" spans="1:8">
      <c r="A52" s="621" t="s">
        <v>792</v>
      </c>
      <c r="B52" s="617" t="s">
        <v>28</v>
      </c>
      <c r="C52" s="617">
        <v>1</v>
      </c>
      <c r="D52" s="618">
        <v>180764</v>
      </c>
      <c r="E52" s="619">
        <f t="shared" si="1"/>
        <v>180764</v>
      </c>
      <c r="F52" s="463"/>
    </row>
    <row r="53" spans="1:8">
      <c r="A53" s="621" t="s">
        <v>793</v>
      </c>
      <c r="B53" s="617" t="s">
        <v>28</v>
      </c>
      <c r="C53" s="617">
        <v>1</v>
      </c>
      <c r="D53" s="618">
        <v>21819</v>
      </c>
      <c r="E53" s="619">
        <f t="shared" si="1"/>
        <v>21819</v>
      </c>
      <c r="F53" s="463"/>
    </row>
    <row r="54" spans="1:8" ht="13.5" thickBot="1">
      <c r="A54" s="477"/>
      <c r="B54" s="478" t="s">
        <v>28</v>
      </c>
      <c r="C54" s="500"/>
      <c r="D54" s="478"/>
      <c r="E54" s="501">
        <f t="shared" si="1"/>
        <v>0</v>
      </c>
      <c r="F54" s="475"/>
    </row>
    <row r="55" spans="1:8" ht="13.5" thickBot="1">
      <c r="A55" s="479"/>
      <c r="B55" s="480"/>
      <c r="C55" s="481"/>
      <c r="D55" s="481"/>
      <c r="E55" s="482"/>
    </row>
    <row r="56" spans="1:8" ht="15.75" thickBot="1">
      <c r="A56" s="472" t="s">
        <v>707</v>
      </c>
      <c r="B56" s="483"/>
      <c r="C56" s="484"/>
      <c r="D56" s="484"/>
      <c r="E56" s="485">
        <f>SUM(E19:E54)/1000</f>
        <v>985.93899999999996</v>
      </c>
    </row>
    <row r="57" spans="1:8" ht="14.25">
      <c r="A57" s="486" t="s">
        <v>158</v>
      </c>
      <c r="B57" s="487"/>
      <c r="C57" s="449"/>
      <c r="D57" s="449"/>
      <c r="E57" s="476"/>
    </row>
    <row r="58" spans="1:8" ht="15">
      <c r="A58" s="488" t="s">
        <v>603</v>
      </c>
      <c r="B58" s="487"/>
      <c r="C58" s="449"/>
      <c r="D58" s="449"/>
      <c r="E58" s="476">
        <v>0</v>
      </c>
    </row>
    <row r="59" spans="1:8" ht="15">
      <c r="A59" s="488" t="s">
        <v>604</v>
      </c>
      <c r="B59" s="487"/>
      <c r="C59" s="449"/>
      <c r="D59" s="449"/>
      <c r="E59" s="476">
        <f>E56</f>
        <v>985.93899999999996</v>
      </c>
    </row>
    <row r="60" spans="1:8" ht="15.75" thickBot="1">
      <c r="A60" s="489" t="s">
        <v>605</v>
      </c>
      <c r="B60" s="490"/>
      <c r="C60" s="491"/>
      <c r="D60" s="491"/>
      <c r="E60" s="492">
        <v>0</v>
      </c>
    </row>
    <row r="61" spans="1:8" ht="13.5" thickBot="1"/>
    <row r="62" spans="1:8" ht="14.25">
      <c r="A62" s="454" t="s">
        <v>612</v>
      </c>
      <c r="B62" s="493"/>
      <c r="C62" s="456" t="s">
        <v>600</v>
      </c>
      <c r="D62" s="456" t="s">
        <v>601</v>
      </c>
      <c r="E62" s="457" t="s">
        <v>602</v>
      </c>
      <c r="F62" s="458" t="s">
        <v>621</v>
      </c>
    </row>
    <row r="63" spans="1:8" ht="13.5" thickBot="1">
      <c r="A63" s="494" t="s">
        <v>158</v>
      </c>
      <c r="B63" s="495"/>
      <c r="C63" s="495"/>
      <c r="D63" s="495"/>
      <c r="E63" s="496"/>
      <c r="F63" s="463"/>
    </row>
    <row r="64" spans="1:8">
      <c r="A64" s="497" t="s">
        <v>590</v>
      </c>
      <c r="B64" s="493"/>
      <c r="C64" s="493" t="s">
        <v>326</v>
      </c>
      <c r="D64" s="493" t="s">
        <v>326</v>
      </c>
      <c r="E64" s="498">
        <f>C65*C66*D67</f>
        <v>84</v>
      </c>
      <c r="F64" s="463" t="s">
        <v>708</v>
      </c>
      <c r="H64" s="451" t="s">
        <v>737</v>
      </c>
    </row>
    <row r="65" spans="1:8">
      <c r="A65" s="464"/>
      <c r="B65" s="461"/>
      <c r="C65" s="461">
        <v>1</v>
      </c>
      <c r="D65" s="461" t="s">
        <v>326</v>
      </c>
      <c r="E65" s="462" t="s">
        <v>326</v>
      </c>
      <c r="F65" s="463" t="s">
        <v>709</v>
      </c>
      <c r="H65" s="451" t="s">
        <v>738</v>
      </c>
    </row>
    <row r="66" spans="1:8">
      <c r="A66" s="464" t="s">
        <v>27</v>
      </c>
      <c r="B66" s="461" t="s">
        <v>591</v>
      </c>
      <c r="C66" s="461">
        <v>24000</v>
      </c>
      <c r="D66" s="461" t="s">
        <v>326</v>
      </c>
      <c r="E66" s="462" t="s">
        <v>326</v>
      </c>
      <c r="F66" s="463" t="s">
        <v>179</v>
      </c>
      <c r="H66" s="451" t="s">
        <v>739</v>
      </c>
    </row>
    <row r="67" spans="1:8" ht="13.5" thickBot="1">
      <c r="A67" s="499" t="s">
        <v>592</v>
      </c>
      <c r="B67" s="500" t="s">
        <v>712</v>
      </c>
      <c r="C67" s="500" t="s">
        <v>326</v>
      </c>
      <c r="D67" s="500">
        <v>3.5000000000000001E-3</v>
      </c>
      <c r="E67" s="501" t="s">
        <v>326</v>
      </c>
      <c r="F67" s="463"/>
      <c r="H67" s="451" t="s">
        <v>740</v>
      </c>
    </row>
    <row r="68" spans="1:8">
      <c r="A68" s="502" t="s">
        <v>593</v>
      </c>
      <c r="B68" s="503"/>
      <c r="C68" s="503" t="s">
        <v>326</v>
      </c>
      <c r="D68" s="503" t="s">
        <v>326</v>
      </c>
      <c r="E68" s="504">
        <f>C69*C70*D71</f>
        <v>0</v>
      </c>
      <c r="F68" s="463" t="s">
        <v>708</v>
      </c>
    </row>
    <row r="69" spans="1:8">
      <c r="A69" s="464"/>
      <c r="B69" s="461"/>
      <c r="C69" s="461">
        <v>1</v>
      </c>
      <c r="D69" s="461" t="s">
        <v>326</v>
      </c>
      <c r="E69" s="462" t="s">
        <v>326</v>
      </c>
      <c r="F69" s="463" t="s">
        <v>710</v>
      </c>
    </row>
    <row r="70" spans="1:8">
      <c r="A70" s="464" t="s">
        <v>27</v>
      </c>
      <c r="B70" s="461" t="s">
        <v>594</v>
      </c>
      <c r="C70" s="461">
        <v>0</v>
      </c>
      <c r="D70" s="461" t="s">
        <v>326</v>
      </c>
      <c r="E70" s="462" t="s">
        <v>326</v>
      </c>
      <c r="F70" s="463" t="s">
        <v>179</v>
      </c>
    </row>
    <row r="71" spans="1:8" ht="13.5" thickBot="1">
      <c r="A71" s="505" t="s">
        <v>595</v>
      </c>
      <c r="B71" s="495" t="s">
        <v>712</v>
      </c>
      <c r="C71" s="495" t="s">
        <v>326</v>
      </c>
      <c r="D71" s="495">
        <v>1</v>
      </c>
      <c r="E71" s="496" t="s">
        <v>326</v>
      </c>
      <c r="F71" s="463"/>
    </row>
    <row r="72" spans="1:8">
      <c r="A72" s="497" t="s">
        <v>596</v>
      </c>
      <c r="B72" s="493"/>
      <c r="C72" s="493" t="s">
        <v>326</v>
      </c>
      <c r="D72" s="493" t="s">
        <v>326</v>
      </c>
      <c r="E72" s="498">
        <f>C73*C74*D75</f>
        <v>0</v>
      </c>
      <c r="F72" s="463" t="s">
        <v>708</v>
      </c>
    </row>
    <row r="73" spans="1:8">
      <c r="A73" s="464" t="s">
        <v>597</v>
      </c>
      <c r="B73" s="461" t="s">
        <v>598</v>
      </c>
      <c r="C73" s="461"/>
      <c r="D73" s="461" t="s">
        <v>326</v>
      </c>
      <c r="E73" s="462" t="s">
        <v>326</v>
      </c>
      <c r="F73" s="463"/>
    </row>
    <row r="74" spans="1:8">
      <c r="A74" s="464" t="s">
        <v>27</v>
      </c>
      <c r="B74" s="461" t="s">
        <v>598</v>
      </c>
      <c r="C74" s="461"/>
      <c r="D74" s="461" t="s">
        <v>326</v>
      </c>
      <c r="E74" s="462" t="s">
        <v>326</v>
      </c>
      <c r="F74" s="463" t="s">
        <v>179</v>
      </c>
    </row>
    <row r="75" spans="1:8" ht="13.5" thickBot="1">
      <c r="A75" s="506" t="s">
        <v>599</v>
      </c>
      <c r="B75" s="507" t="s">
        <v>586</v>
      </c>
      <c r="C75" s="500" t="s">
        <v>326</v>
      </c>
      <c r="D75" s="500"/>
      <c r="E75" s="501" t="s">
        <v>326</v>
      </c>
      <c r="F75" s="463"/>
    </row>
    <row r="76" spans="1:8" ht="13.5" thickBot="1">
      <c r="F76" s="463"/>
    </row>
    <row r="77" spans="1:8" ht="15.75" thickBot="1">
      <c r="A77" s="472" t="s">
        <v>711</v>
      </c>
      <c r="B77" s="483"/>
      <c r="C77" s="484"/>
      <c r="D77" s="484"/>
      <c r="E77" s="484">
        <f>(E64+E68+E72)</f>
        <v>84</v>
      </c>
      <c r="F77" s="475"/>
    </row>
  </sheetData>
  <phoneticPr fontId="23" type="noConversion"/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</sheetPr>
  <dimension ref="A1:O38"/>
  <sheetViews>
    <sheetView topLeftCell="C7" workbookViewId="0">
      <selection activeCell="L13" sqref="L13:N13"/>
    </sheetView>
  </sheetViews>
  <sheetFormatPr defaultRowHeight="11.25"/>
  <cols>
    <col min="1" max="2" width="0" style="509" hidden="1" customWidth="1"/>
    <col min="3" max="3" width="2.7109375" style="510" customWidth="1"/>
    <col min="4" max="4" width="3.7109375" style="511" customWidth="1"/>
    <col min="5" max="5" width="40.28515625" style="510" customWidth="1"/>
    <col min="6" max="7" width="11.42578125" style="510" customWidth="1"/>
    <col min="8" max="8" width="12.85546875" style="510" customWidth="1"/>
    <col min="9" max="9" width="10.5703125" style="510" customWidth="1"/>
    <col min="10" max="10" width="10.7109375" style="510" customWidth="1"/>
    <col min="11" max="11" width="13.7109375" style="510" customWidth="1"/>
    <col min="12" max="12" width="11.140625" style="510" customWidth="1"/>
    <col min="13" max="13" width="12.85546875" style="510" customWidth="1"/>
    <col min="14" max="14" width="13.85546875" style="510" customWidth="1"/>
    <col min="15" max="15" width="11.85546875" style="510" customWidth="1"/>
    <col min="16" max="16384" width="9.140625" style="510"/>
  </cols>
  <sheetData>
    <row r="1" spans="1:15" s="509" customFormat="1" ht="12.75" hidden="1" customHeight="1">
      <c r="A1" s="370" t="e">
        <f>#REF!</f>
        <v>#REF!</v>
      </c>
      <c r="B1" s="370" t="e">
        <f>#REF!</f>
        <v>#REF!</v>
      </c>
      <c r="C1" s="370" t="e">
        <f>#REF!</f>
        <v>#REF!</v>
      </c>
      <c r="D1" s="508"/>
    </row>
    <row r="2" spans="1:15" s="509" customFormat="1" ht="12.75" hidden="1" customHeight="1">
      <c r="A2" s="370" t="e">
        <f>#REF!</f>
        <v>#REF!</v>
      </c>
      <c r="B2" s="370" t="e">
        <f>#REF!</f>
        <v>#REF!</v>
      </c>
      <c r="C2" s="370"/>
      <c r="D2" s="508"/>
    </row>
    <row r="3" spans="1:15" s="509" customFormat="1" ht="12.75" hidden="1" customHeight="1">
      <c r="A3" s="370" t="e">
        <f>#REF!</f>
        <v>#REF!</v>
      </c>
      <c r="B3" s="370" t="e">
        <f>#REF!</f>
        <v>#REF!</v>
      </c>
      <c r="C3" s="370"/>
      <c r="D3" s="508"/>
    </row>
    <row r="4" spans="1:15" s="509" customFormat="1" ht="12.75" hidden="1" customHeight="1">
      <c r="A4" s="370" t="e">
        <f>#REF!</f>
        <v>#REF!</v>
      </c>
      <c r="B4" s="370" t="e">
        <f>#REF!</f>
        <v>#REF!</v>
      </c>
      <c r="C4" s="370"/>
      <c r="D4" s="508"/>
    </row>
    <row r="5" spans="1:15" s="509" customFormat="1" ht="12.75" hidden="1" customHeight="1">
      <c r="D5" s="508"/>
    </row>
    <row r="6" spans="1:15" s="509" customFormat="1" ht="12.75" hidden="1" customHeight="1">
      <c r="D6" s="508"/>
    </row>
    <row r="7" spans="1:15">
      <c r="N7" s="512"/>
    </row>
    <row r="8" spans="1:15">
      <c r="C8" s="754"/>
      <c r="D8" s="754"/>
      <c r="E8" s="754"/>
      <c r="F8" s="513"/>
      <c r="G8" s="514"/>
      <c r="H8" s="515"/>
      <c r="I8" s="513"/>
      <c r="J8" s="514"/>
      <c r="K8" s="513"/>
      <c r="L8" s="516"/>
      <c r="M8" s="517"/>
      <c r="N8" s="516"/>
      <c r="O8" s="420"/>
    </row>
    <row r="9" spans="1:15" ht="12" customHeight="1">
      <c r="C9" s="518"/>
      <c r="D9" s="755" t="s">
        <v>584</v>
      </c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519"/>
    </row>
    <row r="10" spans="1:15" s="523" customFormat="1" ht="12" customHeight="1">
      <c r="A10" s="520"/>
      <c r="B10" s="520"/>
      <c r="C10" s="521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522"/>
    </row>
    <row r="11" spans="1:15" s="523" customFormat="1" ht="12" customHeight="1">
      <c r="A11" s="520"/>
      <c r="B11" s="520"/>
      <c r="C11" s="521"/>
      <c r="D11" s="757" t="s">
        <v>734</v>
      </c>
      <c r="E11" s="757"/>
      <c r="F11" s="757"/>
      <c r="G11" s="757"/>
      <c r="H11" s="757"/>
      <c r="I11" s="757"/>
      <c r="J11" s="757"/>
      <c r="K11" s="757"/>
      <c r="L11" s="757"/>
      <c r="M11" s="757"/>
      <c r="N11" s="757"/>
      <c r="O11" s="522"/>
    </row>
    <row r="12" spans="1:15" s="523" customFormat="1" ht="12" customHeight="1" thickBot="1">
      <c r="A12" s="520"/>
      <c r="B12" s="520"/>
      <c r="C12" s="521"/>
      <c r="D12" s="524"/>
      <c r="E12" s="524"/>
      <c r="F12" s="524"/>
      <c r="G12" s="525"/>
      <c r="H12" s="524"/>
      <c r="I12" s="524"/>
      <c r="J12" s="525"/>
      <c r="K12" s="524"/>
      <c r="L12" s="524"/>
      <c r="M12" s="525"/>
      <c r="N12" s="524"/>
      <c r="O12" s="522"/>
    </row>
    <row r="13" spans="1:15" ht="16.5" customHeight="1" thickBot="1">
      <c r="C13" s="518"/>
      <c r="D13" s="758" t="s">
        <v>179</v>
      </c>
      <c r="E13" s="759" t="s">
        <v>239</v>
      </c>
      <c r="F13" s="759" t="s">
        <v>181</v>
      </c>
      <c r="G13" s="759"/>
      <c r="H13" s="759"/>
      <c r="I13" s="759" t="s">
        <v>6</v>
      </c>
      <c r="J13" s="759"/>
      <c r="K13" s="759"/>
      <c r="L13" s="760" t="s">
        <v>812</v>
      </c>
      <c r="M13" s="760"/>
      <c r="N13" s="761"/>
      <c r="O13" s="526" t="s">
        <v>621</v>
      </c>
    </row>
    <row r="14" spans="1:15" ht="60.75" customHeight="1">
      <c r="C14" s="518"/>
      <c r="D14" s="758"/>
      <c r="E14" s="759"/>
      <c r="F14" s="527" t="s">
        <v>240</v>
      </c>
      <c r="G14" s="527" t="s">
        <v>241</v>
      </c>
      <c r="H14" s="527" t="s">
        <v>242</v>
      </c>
      <c r="I14" s="527" t="s">
        <v>240</v>
      </c>
      <c r="J14" s="527" t="s">
        <v>241</v>
      </c>
      <c r="K14" s="527" t="s">
        <v>242</v>
      </c>
      <c r="L14" s="527" t="s">
        <v>240</v>
      </c>
      <c r="M14" s="527" t="s">
        <v>241</v>
      </c>
      <c r="N14" s="528" t="s">
        <v>242</v>
      </c>
      <c r="O14" s="529"/>
    </row>
    <row r="15" spans="1:15">
      <c r="C15" s="518"/>
      <c r="D15" s="530">
        <v>1</v>
      </c>
      <c r="E15" s="531">
        <v>2</v>
      </c>
      <c r="F15" s="532">
        <v>3</v>
      </c>
      <c r="G15" s="532">
        <v>4</v>
      </c>
      <c r="H15" s="532">
        <v>5</v>
      </c>
      <c r="I15" s="532">
        <v>6</v>
      </c>
      <c r="J15" s="532">
        <v>7</v>
      </c>
      <c r="K15" s="532">
        <v>8</v>
      </c>
      <c r="L15" s="532">
        <v>9</v>
      </c>
      <c r="M15" s="532">
        <v>10</v>
      </c>
      <c r="N15" s="533">
        <v>11</v>
      </c>
      <c r="O15" s="529"/>
    </row>
    <row r="16" spans="1:15">
      <c r="C16" s="518"/>
      <c r="D16" s="534" t="s">
        <v>182</v>
      </c>
      <c r="E16" s="535" t="s">
        <v>243</v>
      </c>
      <c r="F16" s="536"/>
      <c r="G16" s="536"/>
      <c r="H16" s="537">
        <f t="shared" ref="H16:H21" si="0">F16*G16</f>
        <v>0</v>
      </c>
      <c r="I16" s="536"/>
      <c r="J16" s="536"/>
      <c r="K16" s="537">
        <f t="shared" ref="K16:K21" si="1">I16*J16</f>
        <v>0</v>
      </c>
      <c r="L16" s="536">
        <f t="shared" ref="L16:L21" si="2">N16*M16</f>
        <v>1768.0409145833794</v>
      </c>
      <c r="M16" s="536">
        <v>1</v>
      </c>
      <c r="N16" s="538">
        <f>'П1.16 ОТ рабочих'!I44</f>
        <v>1768.0409145833794</v>
      </c>
      <c r="O16" s="529"/>
    </row>
    <row r="17" spans="3:15">
      <c r="C17" s="518"/>
      <c r="D17" s="534" t="s">
        <v>185</v>
      </c>
      <c r="E17" s="535" t="s">
        <v>123</v>
      </c>
      <c r="F17" s="536"/>
      <c r="G17" s="536"/>
      <c r="H17" s="537">
        <f t="shared" si="0"/>
        <v>0</v>
      </c>
      <c r="I17" s="536"/>
      <c r="J17" s="536"/>
      <c r="K17" s="537">
        <f t="shared" si="1"/>
        <v>0</v>
      </c>
      <c r="L17" s="536">
        <f t="shared" si="2"/>
        <v>535.71639711876401</v>
      </c>
      <c r="M17" s="536">
        <v>1</v>
      </c>
      <c r="N17" s="538">
        <f>'П1.16 ОТ рабочих'!I46</f>
        <v>535.71639711876401</v>
      </c>
      <c r="O17" s="529"/>
    </row>
    <row r="18" spans="3:15">
      <c r="C18" s="518"/>
      <c r="D18" s="534" t="s">
        <v>244</v>
      </c>
      <c r="E18" s="535" t="s">
        <v>245</v>
      </c>
      <c r="F18" s="536"/>
      <c r="G18" s="536"/>
      <c r="H18" s="537">
        <f t="shared" si="0"/>
        <v>0</v>
      </c>
      <c r="I18" s="536"/>
      <c r="J18" s="536"/>
      <c r="K18" s="537">
        <f t="shared" si="1"/>
        <v>0</v>
      </c>
      <c r="L18" s="536">
        <f t="shared" si="2"/>
        <v>0</v>
      </c>
      <c r="M18" s="536">
        <v>1</v>
      </c>
      <c r="N18" s="538">
        <v>0</v>
      </c>
      <c r="O18" s="529"/>
    </row>
    <row r="19" spans="3:15">
      <c r="C19" s="518"/>
      <c r="D19" s="534">
        <v>4</v>
      </c>
      <c r="E19" s="510" t="s">
        <v>625</v>
      </c>
      <c r="F19" s="536"/>
      <c r="G19" s="536"/>
      <c r="H19" s="537">
        <f t="shared" si="0"/>
        <v>0</v>
      </c>
      <c r="I19" s="536"/>
      <c r="J19" s="536"/>
      <c r="K19" s="537">
        <f t="shared" si="1"/>
        <v>0</v>
      </c>
      <c r="L19" s="536">
        <f t="shared" si="2"/>
        <v>1421.0231064999998</v>
      </c>
      <c r="M19" s="536">
        <v>1</v>
      </c>
      <c r="N19" s="538">
        <f>СиМ!E16+СиМ!E56</f>
        <v>1421.0231064999998</v>
      </c>
      <c r="O19" s="529"/>
    </row>
    <row r="20" spans="3:15">
      <c r="C20" s="518"/>
      <c r="D20" s="539">
        <v>5</v>
      </c>
      <c r="E20" s="540" t="s">
        <v>113</v>
      </c>
      <c r="F20" s="541"/>
      <c r="G20" s="536"/>
      <c r="H20" s="537">
        <f t="shared" si="0"/>
        <v>0</v>
      </c>
      <c r="I20" s="536"/>
      <c r="J20" s="536"/>
      <c r="K20" s="537">
        <f t="shared" si="1"/>
        <v>0</v>
      </c>
      <c r="L20" s="536">
        <f t="shared" si="2"/>
        <v>3185.73</v>
      </c>
      <c r="M20" s="536">
        <v>1</v>
      </c>
      <c r="N20" s="615">
        <v>3185.73</v>
      </c>
      <c r="O20" s="529"/>
    </row>
    <row r="21" spans="3:15">
      <c r="C21" s="518"/>
      <c r="D21" s="539"/>
      <c r="E21" s="542" t="s">
        <v>626</v>
      </c>
      <c r="F21" s="541"/>
      <c r="G21" s="536"/>
      <c r="H21" s="537">
        <f t="shared" si="0"/>
        <v>0</v>
      </c>
      <c r="I21" s="536"/>
      <c r="J21" s="536"/>
      <c r="K21" s="537">
        <f t="shared" si="1"/>
        <v>0</v>
      </c>
      <c r="L21" s="536">
        <f t="shared" si="2"/>
        <v>0</v>
      </c>
      <c r="M21" s="536">
        <v>1</v>
      </c>
      <c r="N21" s="538">
        <v>0</v>
      </c>
      <c r="O21" s="529"/>
    </row>
    <row r="22" spans="3:15">
      <c r="C22" s="543"/>
      <c r="D22" s="544"/>
      <c r="E22" s="751"/>
      <c r="F22" s="752"/>
      <c r="G22" s="545"/>
      <c r="H22" s="545"/>
      <c r="I22" s="545"/>
      <c r="J22" s="545"/>
      <c r="K22" s="545"/>
      <c r="L22" s="545"/>
      <c r="M22" s="545"/>
      <c r="N22" s="546"/>
      <c r="O22" s="547"/>
    </row>
    <row r="23" spans="3:15">
      <c r="C23" s="518"/>
      <c r="D23" s="534">
        <v>6</v>
      </c>
      <c r="E23" s="548" t="s">
        <v>247</v>
      </c>
      <c r="F23" s="536"/>
      <c r="G23" s="536"/>
      <c r="H23" s="537">
        <f>SUM(H24:H28)</f>
        <v>0</v>
      </c>
      <c r="I23" s="536"/>
      <c r="J23" s="536"/>
      <c r="K23" s="537">
        <f>SUM(K24:K28)</f>
        <v>0</v>
      </c>
      <c r="L23" s="536">
        <f>M23*N23</f>
        <v>1280.72048</v>
      </c>
      <c r="M23" s="536">
        <v>1</v>
      </c>
      <c r="N23" s="538">
        <f>SUM(N24:N28)</f>
        <v>1280.72048</v>
      </c>
      <c r="O23" s="529"/>
    </row>
    <row r="24" spans="3:15">
      <c r="C24" s="518"/>
      <c r="D24" s="534"/>
      <c r="E24" s="535" t="s">
        <v>248</v>
      </c>
      <c r="F24" s="536"/>
      <c r="G24" s="536"/>
      <c r="H24" s="537">
        <f>F24*G24</f>
        <v>0</v>
      </c>
      <c r="I24" s="536"/>
      <c r="J24" s="536"/>
      <c r="K24" s="537">
        <f>I24*J24</f>
        <v>0</v>
      </c>
      <c r="L24" s="536">
        <v>0</v>
      </c>
      <c r="M24" s="536">
        <v>1</v>
      </c>
      <c r="N24" s="538">
        <f>L24*M24</f>
        <v>0</v>
      </c>
      <c r="O24" s="529"/>
    </row>
    <row r="25" spans="3:15">
      <c r="C25" s="518"/>
      <c r="D25" s="534"/>
      <c r="E25" s="549" t="s">
        <v>618</v>
      </c>
      <c r="F25" s="536"/>
      <c r="G25" s="536"/>
      <c r="H25" s="537">
        <f>F25*G25</f>
        <v>0</v>
      </c>
      <c r="I25" s="536"/>
      <c r="J25" s="536"/>
      <c r="K25" s="537">
        <f>I25*J25</f>
        <v>0</v>
      </c>
      <c r="L25" s="536">
        <f>'Расчет аренды'!E21</f>
        <v>1032</v>
      </c>
      <c r="M25" s="536">
        <v>1</v>
      </c>
      <c r="N25" s="538">
        <f>L25*M25</f>
        <v>1032</v>
      </c>
      <c r="O25" s="529"/>
    </row>
    <row r="26" spans="3:15" ht="22.5">
      <c r="C26" s="518"/>
      <c r="D26" s="534"/>
      <c r="E26" s="550" t="s">
        <v>622</v>
      </c>
      <c r="F26" s="536"/>
      <c r="G26" s="536"/>
      <c r="H26" s="537">
        <f>F26*G26</f>
        <v>0</v>
      </c>
      <c r="I26" s="536"/>
      <c r="J26" s="536"/>
      <c r="K26" s="537">
        <f>I26*J26</f>
        <v>0</v>
      </c>
      <c r="L26" s="536">
        <f>'Расчет ср-в защиты и обучение'!E37</f>
        <v>248.72047999999998</v>
      </c>
      <c r="M26" s="536">
        <v>1</v>
      </c>
      <c r="N26" s="538">
        <f>L26*M26</f>
        <v>248.72047999999998</v>
      </c>
      <c r="O26" s="529"/>
    </row>
    <row r="27" spans="3:15">
      <c r="C27" s="518"/>
      <c r="D27" s="534"/>
      <c r="E27" s="551" t="s">
        <v>620</v>
      </c>
      <c r="F27" s="536"/>
      <c r="G27" s="536"/>
      <c r="H27" s="537">
        <f>F27*G27</f>
        <v>0</v>
      </c>
      <c r="I27" s="536"/>
      <c r="J27" s="536"/>
      <c r="K27" s="537">
        <f>I27*J27</f>
        <v>0</v>
      </c>
      <c r="L27" s="536"/>
      <c r="M27" s="536">
        <v>1</v>
      </c>
      <c r="N27" s="538">
        <f>L27*M27</f>
        <v>0</v>
      </c>
      <c r="O27" s="529"/>
    </row>
    <row r="28" spans="3:15">
      <c r="C28" s="543"/>
      <c r="D28" s="544"/>
      <c r="E28" s="751"/>
      <c r="F28" s="752"/>
      <c r="G28" s="545"/>
      <c r="H28" s="545"/>
      <c r="I28" s="545"/>
      <c r="J28" s="545"/>
      <c r="K28" s="545"/>
      <c r="L28" s="545"/>
      <c r="M28" s="545"/>
      <c r="N28" s="546"/>
      <c r="O28" s="547"/>
    </row>
    <row r="29" spans="3:15" ht="12" thickBot="1">
      <c r="C29" s="518"/>
      <c r="D29" s="552"/>
      <c r="E29" s="553" t="s">
        <v>623</v>
      </c>
      <c r="F29" s="554">
        <f>F16+F17+F18+F23</f>
        <v>0</v>
      </c>
      <c r="G29" s="555" t="s">
        <v>249</v>
      </c>
      <c r="H29" s="554">
        <f>H16+H17+H18+H23</f>
        <v>0</v>
      </c>
      <c r="I29" s="554">
        <f>I16+I17+I18+I23</f>
        <v>0</v>
      </c>
      <c r="J29" s="555" t="s">
        <v>249</v>
      </c>
      <c r="K29" s="554">
        <f>K16+K17+K18+K23</f>
        <v>0</v>
      </c>
      <c r="L29" s="554">
        <f>L16+L17+L18+L23</f>
        <v>3584.4777917021433</v>
      </c>
      <c r="M29" s="555" t="s">
        <v>249</v>
      </c>
      <c r="N29" s="556">
        <f>N16+N17+N18+N23</f>
        <v>3584.4777917021433</v>
      </c>
      <c r="O29" s="557"/>
    </row>
    <row r="30" spans="3:15" ht="11.25" customHeight="1">
      <c r="C30" s="558"/>
      <c r="D30" s="753"/>
      <c r="E30" s="753"/>
      <c r="F30" s="559"/>
      <c r="G30" s="560"/>
      <c r="H30" s="559"/>
      <c r="I30" s="559"/>
      <c r="J30" s="560"/>
      <c r="K30" s="559"/>
      <c r="L30" s="559"/>
      <c r="M30" s="560"/>
      <c r="N30" s="559"/>
      <c r="O30" s="561"/>
    </row>
    <row r="33" spans="5:5">
      <c r="E33" s="510" t="s">
        <v>619</v>
      </c>
    </row>
    <row r="38" spans="5:5">
      <c r="E38" s="510" t="s">
        <v>113</v>
      </c>
    </row>
  </sheetData>
  <sheetProtection selectLockedCells="1" selectUnlockedCells="1"/>
  <protectedRanges>
    <protectedRange sqref="E27" name="p_d_1"/>
  </protectedRanges>
  <mergeCells count="12">
    <mergeCell ref="E22:F22"/>
    <mergeCell ref="E28:F28"/>
    <mergeCell ref="D30:E30"/>
    <mergeCell ref="C8:E8"/>
    <mergeCell ref="D9:N9"/>
    <mergeCell ref="D10:N10"/>
    <mergeCell ref="D11:N11"/>
    <mergeCell ref="D13:D14"/>
    <mergeCell ref="E13:E14"/>
    <mergeCell ref="F13:H13"/>
    <mergeCell ref="I13:K13"/>
    <mergeCell ref="L13:N13"/>
  </mergeCells>
  <phoneticPr fontId="23" type="noConversion"/>
  <pageMargins left="0.2298611111111111" right="0.20972222222222223" top="0.98402777777777772" bottom="0.98402777777777772" header="0.51180555555555551" footer="0.51180555555555551"/>
  <pageSetup paperSize="9" scale="70" firstPageNumber="0" orientation="landscape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/>
  </sheetPr>
  <dimension ref="A1:O29"/>
  <sheetViews>
    <sheetView topLeftCell="C7" workbookViewId="0">
      <selection activeCell="L14" sqref="L14"/>
    </sheetView>
  </sheetViews>
  <sheetFormatPr defaultRowHeight="11.25"/>
  <cols>
    <col min="1" max="2" width="0" style="509" hidden="1" customWidth="1"/>
    <col min="3" max="3" width="2.7109375" style="510" customWidth="1"/>
    <col min="4" max="4" width="3.7109375" style="511" customWidth="1"/>
    <col min="5" max="5" width="38.5703125" style="510" customWidth="1"/>
    <col min="6" max="6" width="13.140625" style="510" customWidth="1"/>
    <col min="7" max="7" width="13.7109375" style="510" customWidth="1"/>
    <col min="8" max="8" width="12.85546875" style="510" customWidth="1"/>
    <col min="9" max="9" width="12.140625" style="510" customWidth="1"/>
    <col min="10" max="10" width="13.140625" style="510" customWidth="1"/>
    <col min="11" max="11" width="13.7109375" style="510" customWidth="1"/>
    <col min="12" max="12" width="11.140625" style="510" customWidth="1"/>
    <col min="13" max="13" width="12.85546875" style="510" customWidth="1"/>
    <col min="14" max="14" width="13.85546875" style="510" customWidth="1"/>
    <col min="15" max="15" width="10.85546875" style="510" customWidth="1"/>
    <col min="16" max="16384" width="9.140625" style="510"/>
  </cols>
  <sheetData>
    <row r="1" spans="1:15" s="509" customFormat="1" ht="12.75" hidden="1" customHeight="1">
      <c r="A1" s="370" t="e">
        <f>#REF!</f>
        <v>#REF!</v>
      </c>
      <c r="B1" s="370" t="e">
        <f>#REF!</f>
        <v>#REF!</v>
      </c>
      <c r="C1" s="370" t="e">
        <f>#REF!</f>
        <v>#REF!</v>
      </c>
      <c r="D1" s="508"/>
    </row>
    <row r="2" spans="1:15" s="509" customFormat="1" ht="12.75" hidden="1" customHeight="1">
      <c r="A2" s="370" t="e">
        <f>#REF!</f>
        <v>#REF!</v>
      </c>
      <c r="B2" s="370" t="e">
        <f>#REF!</f>
        <v>#REF!</v>
      </c>
      <c r="C2" s="370"/>
      <c r="D2" s="508"/>
    </row>
    <row r="3" spans="1:15" s="509" customFormat="1" ht="12.75" hidden="1" customHeight="1">
      <c r="A3" s="370" t="e">
        <f>#REF!</f>
        <v>#REF!</v>
      </c>
      <c r="B3" s="370" t="e">
        <f>#REF!</f>
        <v>#REF!</v>
      </c>
      <c r="C3" s="370"/>
      <c r="D3" s="508"/>
    </row>
    <row r="4" spans="1:15" s="509" customFormat="1" ht="12.75" hidden="1" customHeight="1">
      <c r="A4" s="370" t="e">
        <f>#REF!</f>
        <v>#REF!</v>
      </c>
      <c r="B4" s="370" t="e">
        <f>#REF!</f>
        <v>#REF!</v>
      </c>
      <c r="C4" s="370"/>
      <c r="D4" s="508"/>
    </row>
    <row r="5" spans="1:15" s="509" customFormat="1" ht="12.75" hidden="1" customHeight="1">
      <c r="D5" s="508"/>
    </row>
    <row r="6" spans="1:15" s="509" customFormat="1" ht="12.75" hidden="1" customHeight="1">
      <c r="D6" s="508"/>
    </row>
    <row r="7" spans="1:15">
      <c r="N7" s="512"/>
    </row>
    <row r="8" spans="1:15">
      <c r="C8" s="754"/>
      <c r="D8" s="754"/>
      <c r="E8" s="754"/>
      <c r="F8" s="513"/>
      <c r="G8" s="514"/>
      <c r="H8" s="515"/>
      <c r="I8" s="513"/>
      <c r="J8" s="514"/>
      <c r="K8" s="513"/>
      <c r="L8" s="516"/>
      <c r="M8" s="517"/>
      <c r="N8" s="516"/>
      <c r="O8" s="420"/>
    </row>
    <row r="9" spans="1:15" ht="12" customHeight="1">
      <c r="C9" s="518"/>
      <c r="D9" s="755" t="s">
        <v>238</v>
      </c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519"/>
    </row>
    <row r="10" spans="1:15" s="523" customFormat="1" ht="12" customHeight="1">
      <c r="A10" s="520"/>
      <c r="B10" s="520"/>
      <c r="C10" s="521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522"/>
    </row>
    <row r="11" spans="1:15" s="523" customFormat="1" ht="12" customHeight="1">
      <c r="A11" s="520"/>
      <c r="B11" s="520"/>
      <c r="C11" s="521"/>
      <c r="D11" s="757" t="s">
        <v>734</v>
      </c>
      <c r="E11" s="757"/>
      <c r="F11" s="757"/>
      <c r="G11" s="757"/>
      <c r="H11" s="757"/>
      <c r="I11" s="757"/>
      <c r="J11" s="757"/>
      <c r="K11" s="757"/>
      <c r="L11" s="757"/>
      <c r="M11" s="757"/>
      <c r="N11" s="757"/>
      <c r="O11" s="522"/>
    </row>
    <row r="12" spans="1:15" s="523" customFormat="1" ht="12" customHeight="1" thickBot="1">
      <c r="A12" s="520"/>
      <c r="B12" s="520"/>
      <c r="C12" s="521"/>
      <c r="D12" s="524"/>
      <c r="E12" s="524"/>
      <c r="F12" s="524"/>
      <c r="G12" s="525"/>
      <c r="H12" s="524"/>
      <c r="I12" s="524"/>
      <c r="J12" s="525"/>
      <c r="K12" s="524"/>
      <c r="L12" s="524"/>
      <c r="M12" s="525"/>
      <c r="N12" s="524"/>
      <c r="O12" s="522"/>
    </row>
    <row r="13" spans="1:15" ht="16.5" customHeight="1" thickBot="1">
      <c r="C13" s="518"/>
      <c r="D13" s="758" t="s">
        <v>179</v>
      </c>
      <c r="E13" s="759" t="s">
        <v>239</v>
      </c>
      <c r="F13" s="759" t="s">
        <v>181</v>
      </c>
      <c r="G13" s="759"/>
      <c r="H13" s="759"/>
      <c r="I13" s="759" t="s">
        <v>6</v>
      </c>
      <c r="J13" s="759"/>
      <c r="K13" s="759"/>
      <c r="L13" s="760" t="s">
        <v>735</v>
      </c>
      <c r="M13" s="760"/>
      <c r="N13" s="760"/>
      <c r="O13" s="526" t="s">
        <v>621</v>
      </c>
    </row>
    <row r="14" spans="1:15" ht="60.75" customHeight="1">
      <c r="C14" s="518"/>
      <c r="D14" s="758"/>
      <c r="E14" s="759"/>
      <c r="F14" s="527" t="s">
        <v>240</v>
      </c>
      <c r="G14" s="527" t="s">
        <v>241</v>
      </c>
      <c r="H14" s="527" t="s">
        <v>242</v>
      </c>
      <c r="I14" s="527" t="s">
        <v>240</v>
      </c>
      <c r="J14" s="527" t="s">
        <v>241</v>
      </c>
      <c r="K14" s="527" t="s">
        <v>242</v>
      </c>
      <c r="L14" s="527" t="s">
        <v>240</v>
      </c>
      <c r="M14" s="527" t="s">
        <v>241</v>
      </c>
      <c r="N14" s="527" t="s">
        <v>242</v>
      </c>
      <c r="O14" s="529"/>
    </row>
    <row r="15" spans="1:15">
      <c r="C15" s="518"/>
      <c r="D15" s="530">
        <v>1</v>
      </c>
      <c r="E15" s="531">
        <v>2</v>
      </c>
      <c r="F15" s="532">
        <v>3</v>
      </c>
      <c r="G15" s="532">
        <v>4</v>
      </c>
      <c r="H15" s="532">
        <v>5</v>
      </c>
      <c r="I15" s="532">
        <v>6</v>
      </c>
      <c r="J15" s="532">
        <v>7</v>
      </c>
      <c r="K15" s="532">
        <v>8</v>
      </c>
      <c r="L15" s="532">
        <v>9</v>
      </c>
      <c r="M15" s="532">
        <v>10</v>
      </c>
      <c r="N15" s="562">
        <v>11</v>
      </c>
      <c r="O15" s="529"/>
    </row>
    <row r="16" spans="1:15">
      <c r="C16" s="518"/>
      <c r="D16" s="534" t="s">
        <v>182</v>
      </c>
      <c r="E16" s="535" t="s">
        <v>243</v>
      </c>
      <c r="F16" s="536"/>
      <c r="G16" s="536"/>
      <c r="H16" s="537">
        <f>F16*G16</f>
        <v>0</v>
      </c>
      <c r="I16" s="536"/>
      <c r="J16" s="536"/>
      <c r="K16" s="537">
        <f>I16*J16</f>
        <v>0</v>
      </c>
      <c r="L16" s="536"/>
      <c r="M16" s="536"/>
      <c r="N16" s="563">
        <f>'П1.16 ОТ цех. рабочих'!I45</f>
        <v>0</v>
      </c>
      <c r="O16" s="529"/>
    </row>
    <row r="17" spans="3:15">
      <c r="C17" s="518"/>
      <c r="D17" s="534" t="s">
        <v>185</v>
      </c>
      <c r="E17" s="535" t="s">
        <v>123</v>
      </c>
      <c r="F17" s="536"/>
      <c r="G17" s="536"/>
      <c r="H17" s="537">
        <f>F17*G17</f>
        <v>0</v>
      </c>
      <c r="I17" s="536"/>
      <c r="J17" s="536"/>
      <c r="K17" s="537">
        <f>I17*J17</f>
        <v>0</v>
      </c>
      <c r="L17" s="536"/>
      <c r="M17" s="536"/>
      <c r="N17" s="563">
        <f>'П1.16 ОТ цех. рабочих'!I47</f>
        <v>0</v>
      </c>
      <c r="O17" s="529"/>
    </row>
    <row r="18" spans="3:15">
      <c r="C18" s="518"/>
      <c r="D18" s="534" t="s">
        <v>244</v>
      </c>
      <c r="E18" s="535" t="s">
        <v>245</v>
      </c>
      <c r="F18" s="536"/>
      <c r="G18" s="536"/>
      <c r="H18" s="537">
        <f>F18*G18</f>
        <v>0</v>
      </c>
      <c r="I18" s="536"/>
      <c r="J18" s="536"/>
      <c r="K18" s="537">
        <f>I18*J18</f>
        <v>0</v>
      </c>
      <c r="L18" s="536"/>
      <c r="M18" s="536"/>
      <c r="N18" s="563">
        <f>L18*M18</f>
        <v>0</v>
      </c>
      <c r="O18" s="529"/>
    </row>
    <row r="19" spans="3:15">
      <c r="C19" s="518"/>
      <c r="D19" s="534" t="s">
        <v>246</v>
      </c>
      <c r="E19" s="535" t="s">
        <v>247</v>
      </c>
      <c r="F19" s="536"/>
      <c r="G19" s="536"/>
      <c r="H19" s="537">
        <f>SUM(H20:H24)</f>
        <v>0</v>
      </c>
      <c r="I19" s="536"/>
      <c r="J19" s="536"/>
      <c r="K19" s="537">
        <f>SUM(K20:K24)</f>
        <v>0</v>
      </c>
      <c r="L19" s="536"/>
      <c r="M19" s="536"/>
      <c r="N19" s="563">
        <f>SUM(N20:N24)</f>
        <v>0</v>
      </c>
      <c r="O19" s="529"/>
    </row>
    <row r="20" spans="3:15">
      <c r="C20" s="518"/>
      <c r="D20" s="534"/>
      <c r="E20" s="535" t="s">
        <v>248</v>
      </c>
      <c r="F20" s="536"/>
      <c r="G20" s="536"/>
      <c r="H20" s="537">
        <f>F20*G20</f>
        <v>0</v>
      </c>
      <c r="I20" s="536"/>
      <c r="J20" s="536"/>
      <c r="K20" s="537">
        <f>I20*J20</f>
        <v>0</v>
      </c>
      <c r="L20" s="536"/>
      <c r="M20" s="536"/>
      <c r="N20" s="537">
        <f>L20*M20</f>
        <v>0</v>
      </c>
      <c r="O20" s="529"/>
    </row>
    <row r="21" spans="3:15">
      <c r="C21" s="518"/>
      <c r="D21" s="534"/>
      <c r="E21" s="549" t="s">
        <v>618</v>
      </c>
      <c r="F21" s="536"/>
      <c r="G21" s="536"/>
      <c r="H21" s="537">
        <f>F21*G21</f>
        <v>0</v>
      </c>
      <c r="I21" s="536"/>
      <c r="J21" s="536"/>
      <c r="K21" s="537">
        <f>I21*J21</f>
        <v>0</v>
      </c>
      <c r="L21" s="536"/>
      <c r="M21" s="536"/>
      <c r="N21" s="537">
        <f>L21*M21</f>
        <v>0</v>
      </c>
      <c r="O21" s="529"/>
    </row>
    <row r="22" spans="3:15" ht="22.5">
      <c r="C22" s="518"/>
      <c r="D22" s="534"/>
      <c r="E22" s="550" t="s">
        <v>622</v>
      </c>
      <c r="F22" s="536"/>
      <c r="G22" s="536"/>
      <c r="H22" s="537">
        <f>F22*G22</f>
        <v>0</v>
      </c>
      <c r="I22" s="536"/>
      <c r="J22" s="536"/>
      <c r="K22" s="537">
        <f>I22*J22</f>
        <v>0</v>
      </c>
      <c r="L22" s="536"/>
      <c r="M22" s="536"/>
      <c r="N22" s="537">
        <f>L22*M22</f>
        <v>0</v>
      </c>
      <c r="O22" s="529"/>
    </row>
    <row r="23" spans="3:15">
      <c r="C23" s="518"/>
      <c r="D23" s="534"/>
      <c r="E23" s="551" t="s">
        <v>620</v>
      </c>
      <c r="F23" s="536"/>
      <c r="G23" s="536"/>
      <c r="H23" s="537">
        <f>F23*G23</f>
        <v>0</v>
      </c>
      <c r="I23" s="536"/>
      <c r="J23" s="536"/>
      <c r="K23" s="537">
        <f>I23*J23</f>
        <v>0</v>
      </c>
      <c r="L23" s="536"/>
      <c r="M23" s="536"/>
      <c r="N23" s="537">
        <f>L23*M23</f>
        <v>0</v>
      </c>
      <c r="O23" s="529"/>
    </row>
    <row r="24" spans="3:15">
      <c r="C24" s="543"/>
      <c r="D24" s="544"/>
      <c r="E24" s="751"/>
      <c r="F24" s="752"/>
      <c r="G24" s="545"/>
      <c r="H24" s="545"/>
      <c r="I24" s="545"/>
      <c r="J24" s="545"/>
      <c r="K24" s="545"/>
      <c r="L24" s="545"/>
      <c r="M24" s="545"/>
      <c r="N24" s="564"/>
      <c r="O24" s="547"/>
    </row>
    <row r="25" spans="3:15" ht="12" thickBot="1">
      <c r="C25" s="518"/>
      <c r="D25" s="552"/>
      <c r="E25" s="553" t="s">
        <v>623</v>
      </c>
      <c r="F25" s="554">
        <f>F16+F17+F18+F19</f>
        <v>0</v>
      </c>
      <c r="G25" s="555" t="s">
        <v>249</v>
      </c>
      <c r="H25" s="554">
        <f>H16+H17+H18+H19</f>
        <v>0</v>
      </c>
      <c r="I25" s="554">
        <f>I16+I17+I18+I19</f>
        <v>0</v>
      </c>
      <c r="J25" s="555" t="s">
        <v>249</v>
      </c>
      <c r="K25" s="554">
        <f>K16+K17+K18+K19</f>
        <v>0</v>
      </c>
      <c r="L25" s="554">
        <f>L16+L17+L18+L19</f>
        <v>0</v>
      </c>
      <c r="M25" s="555" t="s">
        <v>249</v>
      </c>
      <c r="N25" s="565">
        <f>N16+N17+N18+N19</f>
        <v>0</v>
      </c>
      <c r="O25" s="557"/>
    </row>
    <row r="26" spans="3:15" ht="11.25" customHeight="1">
      <c r="C26" s="558"/>
      <c r="D26" s="753"/>
      <c r="E26" s="753"/>
      <c r="F26" s="559"/>
      <c r="G26" s="560"/>
      <c r="H26" s="559"/>
      <c r="I26" s="559"/>
      <c r="J26" s="560"/>
      <c r="K26" s="559"/>
      <c r="L26" s="559"/>
      <c r="M26" s="560"/>
      <c r="N26" s="559"/>
      <c r="O26" s="561"/>
    </row>
    <row r="29" spans="3:15">
      <c r="E29" s="510" t="s">
        <v>619</v>
      </c>
    </row>
  </sheetData>
  <sheetProtection selectLockedCells="1" selectUnlockedCells="1"/>
  <protectedRanges>
    <protectedRange sqref="E23" name="p_d_1_2"/>
  </protectedRanges>
  <mergeCells count="11">
    <mergeCell ref="D26:E26"/>
    <mergeCell ref="D13:D14"/>
    <mergeCell ref="E13:E14"/>
    <mergeCell ref="F13:H13"/>
    <mergeCell ref="E24:F24"/>
    <mergeCell ref="I13:K13"/>
    <mergeCell ref="C8:E8"/>
    <mergeCell ref="D9:N9"/>
    <mergeCell ref="D10:N10"/>
    <mergeCell ref="D11:N11"/>
    <mergeCell ref="L13:N13"/>
  </mergeCells>
  <phoneticPr fontId="23" type="noConversion"/>
  <pageMargins left="0.2298611111111111" right="0.20972222222222223" top="0.98402777777777772" bottom="0.98402777777777772" header="0.51180555555555551" footer="0.51180555555555551"/>
  <pageSetup paperSize="9" scale="70" firstPageNumber="0" orientation="landscape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/>
  </sheetPr>
  <dimension ref="A1:O29"/>
  <sheetViews>
    <sheetView zoomScale="90" zoomScaleNormal="90" workbookViewId="0">
      <selection activeCell="L14" sqref="L14"/>
    </sheetView>
  </sheetViews>
  <sheetFormatPr defaultRowHeight="11.25"/>
  <cols>
    <col min="1" max="1" width="0.85546875" style="509" customWidth="1"/>
    <col min="2" max="2" width="3" style="509" customWidth="1"/>
    <col min="3" max="3" width="5.140625" style="510" customWidth="1"/>
    <col min="4" max="4" width="3.7109375" style="511" customWidth="1"/>
    <col min="5" max="5" width="38.5703125" style="510" customWidth="1"/>
    <col min="6" max="6" width="11.5703125" style="510" customWidth="1"/>
    <col min="7" max="7" width="13.28515625" style="510" customWidth="1"/>
    <col min="8" max="8" width="21.28515625" style="510" customWidth="1"/>
    <col min="9" max="9" width="12.42578125" style="510" customWidth="1"/>
    <col min="10" max="10" width="14.140625" style="510" customWidth="1"/>
    <col min="11" max="11" width="19.28515625" style="510" customWidth="1"/>
    <col min="12" max="12" width="12.140625" style="510" customWidth="1"/>
    <col min="13" max="13" width="14.5703125" style="510" customWidth="1"/>
    <col min="14" max="14" width="20.5703125" style="510" customWidth="1"/>
    <col min="15" max="15" width="11" style="510" customWidth="1"/>
    <col min="16" max="16384" width="9.140625" style="510"/>
  </cols>
  <sheetData>
    <row r="1" spans="1:15" s="509" customFormat="1" ht="15.75" customHeight="1">
      <c r="A1" s="370" t="e">
        <f>#REF!</f>
        <v>#REF!</v>
      </c>
      <c r="B1" s="370" t="e">
        <f>#REF!</f>
        <v>#REF!</v>
      </c>
      <c r="C1" s="370" t="e">
        <f>#REF!</f>
        <v>#REF!</v>
      </c>
      <c r="D1" s="508"/>
    </row>
    <row r="2" spans="1:15" s="509" customFormat="1" ht="15" customHeight="1">
      <c r="A2" s="370" t="e">
        <f>#REF!</f>
        <v>#REF!</v>
      </c>
      <c r="B2" s="370" t="e">
        <f>#REF!</f>
        <v>#REF!</v>
      </c>
      <c r="C2" s="370"/>
      <c r="D2" s="508"/>
    </row>
    <row r="3" spans="1:15" s="509" customFormat="1" ht="10.5" customHeight="1">
      <c r="A3" s="370" t="e">
        <f>#REF!</f>
        <v>#REF!</v>
      </c>
      <c r="B3" s="370" t="e">
        <f>#REF!</f>
        <v>#REF!</v>
      </c>
      <c r="C3" s="370"/>
      <c r="D3" s="508"/>
    </row>
    <row r="4" spans="1:15" s="509" customFormat="1" ht="11.25" customHeight="1">
      <c r="A4" s="370" t="e">
        <f>#REF!</f>
        <v>#REF!</v>
      </c>
      <c r="B4" s="370" t="e">
        <f>#REF!</f>
        <v>#REF!</v>
      </c>
      <c r="C4" s="370"/>
      <c r="D4" s="508"/>
    </row>
    <row r="5" spans="1:15" s="509" customFormat="1" ht="10.5" customHeight="1">
      <c r="D5" s="508"/>
    </row>
    <row r="6" spans="1:15" s="509" customFormat="1" ht="10.5" customHeight="1">
      <c r="D6" s="508"/>
    </row>
    <row r="7" spans="1:15">
      <c r="N7" s="512"/>
    </row>
    <row r="8" spans="1:15">
      <c r="C8" s="754"/>
      <c r="D8" s="754"/>
      <c r="E8" s="754"/>
      <c r="F8" s="513"/>
      <c r="G8" s="514"/>
      <c r="H8" s="515"/>
      <c r="I8" s="513"/>
      <c r="J8" s="514"/>
      <c r="K8" s="513"/>
      <c r="L8" s="516"/>
      <c r="M8" s="517"/>
      <c r="N8" s="516"/>
      <c r="O8" s="420"/>
    </row>
    <row r="9" spans="1:15" ht="12" customHeight="1">
      <c r="C9" s="518"/>
      <c r="D9" s="755" t="s">
        <v>250</v>
      </c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519"/>
    </row>
    <row r="10" spans="1:15" s="523" customFormat="1" ht="12" customHeight="1">
      <c r="A10" s="520"/>
      <c r="B10" s="520"/>
      <c r="C10" s="521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522"/>
    </row>
    <row r="11" spans="1:15" s="523" customFormat="1" ht="12" customHeight="1">
      <c r="A11" s="520"/>
      <c r="B11" s="520"/>
      <c r="C11" s="521"/>
      <c r="D11" s="757" t="s">
        <v>734</v>
      </c>
      <c r="E11" s="757"/>
      <c r="F11" s="757"/>
      <c r="G11" s="757"/>
      <c r="H11" s="757"/>
      <c r="I11" s="757"/>
      <c r="J11" s="757"/>
      <c r="K11" s="757"/>
      <c r="L11" s="757"/>
      <c r="M11" s="757"/>
      <c r="N11" s="757"/>
      <c r="O11" s="522"/>
    </row>
    <row r="12" spans="1:15" s="523" customFormat="1" ht="12" customHeight="1" thickBot="1">
      <c r="A12" s="520"/>
      <c r="B12" s="520"/>
      <c r="C12" s="521"/>
      <c r="D12" s="524"/>
      <c r="E12" s="524"/>
      <c r="F12" s="524"/>
      <c r="G12" s="525"/>
      <c r="H12" s="524"/>
      <c r="I12" s="524"/>
      <c r="J12" s="525"/>
      <c r="K12" s="524"/>
      <c r="L12" s="524"/>
      <c r="M12" s="525"/>
      <c r="N12" s="524"/>
      <c r="O12" s="522"/>
    </row>
    <row r="13" spans="1:15" ht="16.5" customHeight="1" thickBot="1">
      <c r="C13" s="518"/>
      <c r="D13" s="758" t="s">
        <v>179</v>
      </c>
      <c r="E13" s="759" t="s">
        <v>239</v>
      </c>
      <c r="F13" s="759" t="s">
        <v>251</v>
      </c>
      <c r="G13" s="759"/>
      <c r="H13" s="759"/>
      <c r="I13" s="759" t="s">
        <v>6</v>
      </c>
      <c r="J13" s="759"/>
      <c r="K13" s="759"/>
      <c r="L13" s="760" t="s">
        <v>735</v>
      </c>
      <c r="M13" s="760"/>
      <c r="N13" s="760"/>
      <c r="O13" s="526" t="s">
        <v>621</v>
      </c>
    </row>
    <row r="14" spans="1:15" ht="68.25" customHeight="1">
      <c r="C14" s="518"/>
      <c r="D14" s="758"/>
      <c r="E14" s="759"/>
      <c r="F14" s="527" t="s">
        <v>252</v>
      </c>
      <c r="G14" s="527" t="s">
        <v>241</v>
      </c>
      <c r="H14" s="527" t="s">
        <v>253</v>
      </c>
      <c r="I14" s="527" t="s">
        <v>252</v>
      </c>
      <c r="J14" s="527" t="s">
        <v>241</v>
      </c>
      <c r="K14" s="527" t="s">
        <v>253</v>
      </c>
      <c r="L14" s="527" t="s">
        <v>252</v>
      </c>
      <c r="M14" s="527" t="s">
        <v>241</v>
      </c>
      <c r="N14" s="527" t="s">
        <v>253</v>
      </c>
      <c r="O14" s="529"/>
    </row>
    <row r="15" spans="1:15">
      <c r="C15" s="518"/>
      <c r="D15" s="530">
        <v>1</v>
      </c>
      <c r="E15" s="531">
        <v>2</v>
      </c>
      <c r="F15" s="566">
        <v>3</v>
      </c>
      <c r="G15" s="566">
        <v>4</v>
      </c>
      <c r="H15" s="566">
        <v>5</v>
      </c>
      <c r="I15" s="566">
        <v>6</v>
      </c>
      <c r="J15" s="566">
        <v>7</v>
      </c>
      <c r="K15" s="566">
        <v>8</v>
      </c>
      <c r="L15" s="566">
        <v>9</v>
      </c>
      <c r="M15" s="566">
        <v>10</v>
      </c>
      <c r="N15" s="567">
        <v>11</v>
      </c>
      <c r="O15" s="529"/>
    </row>
    <row r="16" spans="1:15">
      <c r="C16" s="518"/>
      <c r="D16" s="534" t="s">
        <v>182</v>
      </c>
      <c r="E16" s="535" t="s">
        <v>243</v>
      </c>
      <c r="F16" s="536"/>
      <c r="G16" s="536"/>
      <c r="H16" s="537">
        <f>F16*G16</f>
        <v>0</v>
      </c>
      <c r="I16" s="536"/>
      <c r="J16" s="536"/>
      <c r="K16" s="537">
        <f>I16*J16</f>
        <v>0</v>
      </c>
      <c r="L16" s="536">
        <f>N16*M16</f>
        <v>830.3486540329875</v>
      </c>
      <c r="M16" s="536">
        <v>1</v>
      </c>
      <c r="N16" s="537">
        <f>'П1.16 ОТ общехоз. рабочих'!I45</f>
        <v>830.3486540329875</v>
      </c>
      <c r="O16" s="529"/>
    </row>
    <row r="17" spans="3:15">
      <c r="C17" s="518"/>
      <c r="D17" s="534" t="s">
        <v>185</v>
      </c>
      <c r="E17" s="535" t="s">
        <v>123</v>
      </c>
      <c r="F17" s="536"/>
      <c r="G17" s="536"/>
      <c r="H17" s="537">
        <f>F17*G17</f>
        <v>0</v>
      </c>
      <c r="I17" s="536"/>
      <c r="J17" s="536"/>
      <c r="K17" s="537">
        <f>I17*J17</f>
        <v>0</v>
      </c>
      <c r="L17" s="536">
        <f>N17*M17</f>
        <v>251.59564217199519</v>
      </c>
      <c r="M17" s="536">
        <v>1</v>
      </c>
      <c r="N17" s="537">
        <f>'П1.16 ОТ общехоз. рабочих'!I47</f>
        <v>251.59564217199519</v>
      </c>
      <c r="O17" s="529"/>
    </row>
    <row r="18" spans="3:15">
      <c r="C18" s="518"/>
      <c r="D18" s="534" t="s">
        <v>244</v>
      </c>
      <c r="E18" s="535" t="s">
        <v>245</v>
      </c>
      <c r="F18" s="536"/>
      <c r="G18" s="536"/>
      <c r="H18" s="537">
        <f>F18*G18</f>
        <v>0</v>
      </c>
      <c r="I18" s="536"/>
      <c r="J18" s="536"/>
      <c r="K18" s="537">
        <f>I18*J18</f>
        <v>0</v>
      </c>
      <c r="L18" s="536">
        <v>0</v>
      </c>
      <c r="M18" s="536">
        <v>1</v>
      </c>
      <c r="N18" s="537">
        <f>L18*M18</f>
        <v>0</v>
      </c>
      <c r="O18" s="529"/>
    </row>
    <row r="19" spans="3:15">
      <c r="C19" s="518"/>
      <c r="D19" s="534" t="s">
        <v>246</v>
      </c>
      <c r="E19" s="535" t="s">
        <v>247</v>
      </c>
      <c r="F19" s="536"/>
      <c r="G19" s="536"/>
      <c r="H19" s="537">
        <f>SUM(H20:H24)</f>
        <v>0</v>
      </c>
      <c r="I19" s="536"/>
      <c r="J19" s="536"/>
      <c r="K19" s="537">
        <f>SUM(K20:K24)</f>
        <v>0</v>
      </c>
      <c r="L19" s="536">
        <f>N19*M19</f>
        <v>480</v>
      </c>
      <c r="M19" s="536">
        <v>1</v>
      </c>
      <c r="N19" s="537">
        <f>SUM(N20:N24)</f>
        <v>480</v>
      </c>
      <c r="O19" s="529"/>
    </row>
    <row r="20" spans="3:15">
      <c r="C20" s="518"/>
      <c r="D20" s="534"/>
      <c r="E20" s="535" t="s">
        <v>248</v>
      </c>
      <c r="F20" s="536"/>
      <c r="G20" s="536"/>
      <c r="H20" s="537">
        <f>F20*G20</f>
        <v>0</v>
      </c>
      <c r="I20" s="536"/>
      <c r="J20" s="536"/>
      <c r="K20" s="537">
        <f>I20*J20</f>
        <v>0</v>
      </c>
      <c r="L20" s="536">
        <v>0</v>
      </c>
      <c r="M20" s="536">
        <v>1</v>
      </c>
      <c r="N20" s="537">
        <f>L20*M20</f>
        <v>0</v>
      </c>
      <c r="O20" s="529"/>
    </row>
    <row r="21" spans="3:15">
      <c r="C21" s="518"/>
      <c r="D21" s="534"/>
      <c r="E21" s="549" t="s">
        <v>618</v>
      </c>
      <c r="F21" s="536"/>
      <c r="G21" s="536"/>
      <c r="H21" s="537">
        <f>F21*G21</f>
        <v>0</v>
      </c>
      <c r="I21" s="536"/>
      <c r="J21" s="536"/>
      <c r="K21" s="537">
        <f>I21*J21</f>
        <v>0</v>
      </c>
      <c r="L21" s="536">
        <f>'Расчет аренды'!E28</f>
        <v>480</v>
      </c>
      <c r="M21" s="536">
        <v>1</v>
      </c>
      <c r="N21" s="537">
        <f>L21*M21</f>
        <v>480</v>
      </c>
      <c r="O21" s="529"/>
    </row>
    <row r="22" spans="3:15" ht="22.5">
      <c r="C22" s="518"/>
      <c r="D22" s="534"/>
      <c r="E22" s="550" t="s">
        <v>622</v>
      </c>
      <c r="F22" s="536"/>
      <c r="G22" s="536"/>
      <c r="H22" s="537">
        <f>F22*G22</f>
        <v>0</v>
      </c>
      <c r="I22" s="536"/>
      <c r="J22" s="536"/>
      <c r="K22" s="537">
        <f>I22*J22</f>
        <v>0</v>
      </c>
      <c r="L22" s="536"/>
      <c r="M22" s="536"/>
      <c r="N22" s="537">
        <f>L22*M22</f>
        <v>0</v>
      </c>
      <c r="O22" s="529"/>
    </row>
    <row r="23" spans="3:15">
      <c r="C23" s="518"/>
      <c r="D23" s="534"/>
      <c r="E23" s="551" t="s">
        <v>620</v>
      </c>
      <c r="F23" s="536"/>
      <c r="G23" s="536"/>
      <c r="H23" s="537">
        <f>F23*G23</f>
        <v>0</v>
      </c>
      <c r="I23" s="536"/>
      <c r="J23" s="536"/>
      <c r="K23" s="537">
        <f>I23*J23</f>
        <v>0</v>
      </c>
      <c r="L23" s="536"/>
      <c r="M23" s="536"/>
      <c r="N23" s="537">
        <f>L23*M23</f>
        <v>0</v>
      </c>
      <c r="O23" s="529"/>
    </row>
    <row r="24" spans="3:15">
      <c r="C24" s="543"/>
      <c r="D24" s="544"/>
      <c r="E24" s="751"/>
      <c r="F24" s="752"/>
      <c r="G24" s="568"/>
      <c r="H24" s="545"/>
      <c r="I24" s="545"/>
      <c r="J24" s="568"/>
      <c r="K24" s="545"/>
      <c r="L24" s="545"/>
      <c r="M24" s="568"/>
      <c r="N24" s="569"/>
      <c r="O24" s="547"/>
    </row>
    <row r="25" spans="3:15" ht="12" thickBot="1">
      <c r="C25" s="518"/>
      <c r="D25" s="552"/>
      <c r="E25" s="553" t="s">
        <v>624</v>
      </c>
      <c r="F25" s="554">
        <f>F16+F17+F18+F19</f>
        <v>0</v>
      </c>
      <c r="G25" s="555" t="s">
        <v>249</v>
      </c>
      <c r="H25" s="554">
        <f>H16+H17+H18+H19</f>
        <v>0</v>
      </c>
      <c r="I25" s="554">
        <f>I16+I17+I18+I19</f>
        <v>0</v>
      </c>
      <c r="J25" s="555" t="s">
        <v>249</v>
      </c>
      <c r="K25" s="554">
        <f>K16+K17+K18+K19</f>
        <v>0</v>
      </c>
      <c r="L25" s="554">
        <f>L16+L17+L18+L19</f>
        <v>1561.9442962049827</v>
      </c>
      <c r="M25" s="555" t="s">
        <v>249</v>
      </c>
      <c r="N25" s="565">
        <f>N16+N17+N18+N19</f>
        <v>1561.9442962049827</v>
      </c>
      <c r="O25" s="557"/>
    </row>
    <row r="26" spans="3:15" ht="11.25" customHeight="1">
      <c r="C26" s="558"/>
      <c r="D26" s="753"/>
      <c r="E26" s="753"/>
      <c r="F26" s="559"/>
      <c r="G26" s="560"/>
      <c r="H26" s="559"/>
      <c r="I26" s="559"/>
      <c r="J26" s="560"/>
      <c r="K26" s="559"/>
      <c r="L26" s="559"/>
      <c r="M26" s="560"/>
      <c r="N26" s="559"/>
      <c r="O26" s="561"/>
    </row>
    <row r="29" spans="3:15">
      <c r="E29" s="510" t="s">
        <v>619</v>
      </c>
    </row>
  </sheetData>
  <sheetProtection selectLockedCells="1" selectUnlockedCells="1"/>
  <protectedRanges>
    <protectedRange sqref="E23" name="p_d_1_1"/>
  </protectedRanges>
  <mergeCells count="11">
    <mergeCell ref="D26:E26"/>
    <mergeCell ref="D13:D14"/>
    <mergeCell ref="E13:E14"/>
    <mergeCell ref="F13:H13"/>
    <mergeCell ref="E24:F24"/>
    <mergeCell ref="I13:K13"/>
    <mergeCell ref="C8:E8"/>
    <mergeCell ref="D9:N9"/>
    <mergeCell ref="D10:N10"/>
    <mergeCell ref="D11:N11"/>
    <mergeCell ref="L13:N13"/>
  </mergeCells>
  <phoneticPr fontId="23" type="noConversion"/>
  <pageMargins left="0.27569444444444446" right="0.2361111111111111" top="0.98402777777777772" bottom="0.98402777777777772" header="0.51180555555555551" footer="0.51180555555555551"/>
  <pageSetup paperSize="9" scale="65" firstPageNumber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7">
    <tabColor rgb="FFFF0000"/>
  </sheetPr>
  <dimension ref="A1:F52"/>
  <sheetViews>
    <sheetView zoomScale="80" zoomScaleNormal="80" workbookViewId="0">
      <selection activeCell="Q37" sqref="Q37"/>
    </sheetView>
  </sheetViews>
  <sheetFormatPr defaultRowHeight="12.75"/>
  <cols>
    <col min="1" max="1" width="6.42578125" style="1" customWidth="1"/>
    <col min="2" max="2" width="0.5703125" style="1" customWidth="1"/>
    <col min="3" max="3" width="57.140625" style="1" customWidth="1"/>
    <col min="4" max="4" width="0" style="1" hidden="1" customWidth="1"/>
    <col min="5" max="5" width="12.7109375" style="1" customWidth="1"/>
    <col min="6" max="6" width="14.5703125" style="1" customWidth="1"/>
    <col min="7" max="16384" width="9.140625" style="1"/>
  </cols>
  <sheetData>
    <row r="1" spans="1:6">
      <c r="F1" s="2" t="s">
        <v>106</v>
      </c>
    </row>
    <row r="3" spans="1:6" ht="15.75">
      <c r="A3" s="762" t="s">
        <v>107</v>
      </c>
      <c r="B3" s="762"/>
      <c r="C3" s="762"/>
      <c r="D3" s="762"/>
      <c r="E3" s="762"/>
      <c r="F3" s="762"/>
    </row>
    <row r="4" spans="1:6">
      <c r="A4" s="17"/>
      <c r="B4" s="17"/>
      <c r="C4" s="17"/>
      <c r="D4" s="17"/>
      <c r="E4" s="17"/>
      <c r="F4" s="17"/>
    </row>
    <row r="5" spans="1:6" ht="20.25" customHeight="1">
      <c r="F5" s="18" t="s">
        <v>108</v>
      </c>
    </row>
    <row r="6" spans="1:6" ht="27.75" customHeight="1">
      <c r="A6" s="3" t="s">
        <v>3</v>
      </c>
      <c r="B6" s="763" t="s">
        <v>109</v>
      </c>
      <c r="C6" s="763"/>
      <c r="D6" s="763"/>
      <c r="E6" s="3" t="s">
        <v>6</v>
      </c>
      <c r="F6" s="19" t="s">
        <v>7</v>
      </c>
    </row>
    <row r="7" spans="1:6">
      <c r="A7" s="4">
        <v>1</v>
      </c>
      <c r="B7" s="764">
        <v>2</v>
      </c>
      <c r="C7" s="764"/>
      <c r="D7" s="764"/>
      <c r="E7" s="4">
        <v>3</v>
      </c>
      <c r="F7" s="5">
        <v>4</v>
      </c>
    </row>
    <row r="8" spans="1:6">
      <c r="A8" s="10">
        <v>1</v>
      </c>
      <c r="B8" s="11"/>
      <c r="C8" s="12" t="s">
        <v>110</v>
      </c>
      <c r="D8" s="13"/>
      <c r="E8" s="4"/>
      <c r="F8" s="5"/>
    </row>
    <row r="9" spans="1:6">
      <c r="A9" s="10">
        <v>2</v>
      </c>
      <c r="B9" s="11"/>
      <c r="C9" s="12" t="s">
        <v>111</v>
      </c>
      <c r="D9" s="13"/>
      <c r="E9" s="4"/>
      <c r="F9" s="5"/>
    </row>
    <row r="10" spans="1:6">
      <c r="A10" s="10"/>
      <c r="B10" s="11"/>
      <c r="C10" s="12" t="s">
        <v>112</v>
      </c>
      <c r="D10" s="13"/>
      <c r="E10" s="4"/>
      <c r="F10" s="5"/>
    </row>
    <row r="11" spans="1:6">
      <c r="A11" s="10">
        <v>3</v>
      </c>
      <c r="B11" s="11"/>
      <c r="C11" s="12" t="s">
        <v>113</v>
      </c>
      <c r="D11" s="13"/>
      <c r="E11" s="4"/>
      <c r="F11" s="5">
        <v>145</v>
      </c>
    </row>
    <row r="12" spans="1:6">
      <c r="A12" s="10"/>
      <c r="B12" s="11"/>
      <c r="C12" s="12" t="s">
        <v>112</v>
      </c>
      <c r="D12" s="13"/>
      <c r="E12" s="4"/>
      <c r="F12" s="5"/>
    </row>
    <row r="13" spans="1:6">
      <c r="A13" s="10">
        <v>4</v>
      </c>
      <c r="B13" s="11"/>
      <c r="C13" s="12" t="s">
        <v>114</v>
      </c>
      <c r="D13" s="13"/>
      <c r="E13" s="4"/>
      <c r="F13" s="5"/>
    </row>
    <row r="14" spans="1:6">
      <c r="A14" s="10">
        <v>5</v>
      </c>
      <c r="B14" s="11"/>
      <c r="C14" s="12" t="s">
        <v>115</v>
      </c>
      <c r="D14" s="13"/>
      <c r="E14" s="4"/>
      <c r="F14" s="5"/>
    </row>
    <row r="15" spans="1:6" ht="25.5">
      <c r="A15" s="14" t="s">
        <v>116</v>
      </c>
      <c r="B15" s="11"/>
      <c r="C15" s="12" t="s">
        <v>117</v>
      </c>
      <c r="D15" s="13"/>
      <c r="E15" s="4"/>
      <c r="F15" s="5"/>
    </row>
    <row r="16" spans="1:6">
      <c r="A16" s="10" t="s">
        <v>118</v>
      </c>
      <c r="B16" s="11"/>
      <c r="C16" s="12" t="s">
        <v>119</v>
      </c>
      <c r="D16" s="13"/>
      <c r="E16" s="4"/>
      <c r="F16" s="5"/>
    </row>
    <row r="17" spans="1:6">
      <c r="A17" s="10" t="s">
        <v>120</v>
      </c>
      <c r="B17" s="11"/>
      <c r="C17" s="12" t="s">
        <v>121</v>
      </c>
      <c r="D17" s="13"/>
      <c r="E17" s="20">
        <f>'П1.16 ОТ рабочих'!H44</f>
        <v>0</v>
      </c>
      <c r="F17" s="21">
        <f>'П1.16 ОТ рабочих'!I44</f>
        <v>1768.0409145833794</v>
      </c>
    </row>
    <row r="18" spans="1:6">
      <c r="A18" s="10"/>
      <c r="B18" s="11"/>
      <c r="C18" s="12" t="s">
        <v>112</v>
      </c>
      <c r="D18" s="13"/>
      <c r="E18" s="4"/>
      <c r="F18" s="5"/>
    </row>
    <row r="19" spans="1:6">
      <c r="A19" s="10" t="s">
        <v>122</v>
      </c>
      <c r="B19" s="11"/>
      <c r="C19" s="12" t="s">
        <v>123</v>
      </c>
      <c r="D19" s="13"/>
      <c r="E19" s="20">
        <f>'П1.16 ОТ рабочих'!H46</f>
        <v>0</v>
      </c>
      <c r="F19" s="21">
        <f>'П1.16 ОТ рабочих'!I46</f>
        <v>535.71639711876401</v>
      </c>
    </row>
    <row r="20" spans="1:6">
      <c r="A20" s="10"/>
      <c r="B20" s="11"/>
      <c r="C20" s="12" t="s">
        <v>112</v>
      </c>
      <c r="D20" s="13"/>
      <c r="E20" s="4"/>
      <c r="F20" s="5"/>
    </row>
    <row r="21" spans="1:6">
      <c r="A21" s="10" t="s">
        <v>124</v>
      </c>
      <c r="B21" s="11"/>
      <c r="C21" s="12" t="s">
        <v>125</v>
      </c>
      <c r="D21" s="13"/>
      <c r="E21" s="4"/>
      <c r="F21" s="5">
        <f>П1.17!F13</f>
        <v>0</v>
      </c>
    </row>
    <row r="22" spans="1:6">
      <c r="A22" s="10" t="s">
        <v>126</v>
      </c>
      <c r="B22" s="11"/>
      <c r="C22" s="12" t="s">
        <v>127</v>
      </c>
      <c r="D22" s="13"/>
      <c r="E22" s="4">
        <f>'Цеховые р.'!I25+Общехоз.р.!I25</f>
        <v>0</v>
      </c>
      <c r="F22" s="5">
        <f>'Цеховые р.'!L25+Общехоз.р.!L25</f>
        <v>1561.9442962049827</v>
      </c>
    </row>
    <row r="23" spans="1:6">
      <c r="A23" s="10" t="s">
        <v>128</v>
      </c>
      <c r="B23" s="11"/>
      <c r="C23" s="12" t="s">
        <v>129</v>
      </c>
      <c r="D23" s="13"/>
      <c r="E23" s="4"/>
      <c r="F23" s="5"/>
    </row>
    <row r="24" spans="1:6">
      <c r="A24" s="10" t="s">
        <v>130</v>
      </c>
      <c r="B24" s="11"/>
      <c r="C24" s="12" t="s">
        <v>131</v>
      </c>
      <c r="D24" s="13"/>
      <c r="E24" s="4"/>
      <c r="F24" s="5"/>
    </row>
    <row r="25" spans="1:6">
      <c r="A25" s="10" t="s">
        <v>132</v>
      </c>
      <c r="B25" s="11"/>
      <c r="C25" s="12" t="s">
        <v>133</v>
      </c>
      <c r="D25" s="13"/>
      <c r="E25" s="4"/>
      <c r="F25" s="5"/>
    </row>
    <row r="26" spans="1:6" ht="65.25" customHeight="1">
      <c r="A26" s="14" t="s">
        <v>134</v>
      </c>
      <c r="B26" s="11"/>
      <c r="C26" s="15" t="s">
        <v>135</v>
      </c>
      <c r="D26" s="13"/>
      <c r="E26" s="4"/>
      <c r="F26" s="5"/>
    </row>
    <row r="27" spans="1:6">
      <c r="A27" s="10" t="s">
        <v>136</v>
      </c>
      <c r="B27" s="11"/>
      <c r="C27" s="12" t="s">
        <v>137</v>
      </c>
      <c r="D27" s="13"/>
      <c r="E27" s="4"/>
      <c r="F27" s="5"/>
    </row>
    <row r="28" spans="1:6">
      <c r="A28" s="10" t="s">
        <v>138</v>
      </c>
      <c r="B28" s="11"/>
      <c r="C28" s="12" t="s">
        <v>139</v>
      </c>
      <c r="D28" s="13"/>
      <c r="E28" s="4"/>
      <c r="F28" s="5"/>
    </row>
    <row r="29" spans="1:6" ht="25.5">
      <c r="A29" s="14" t="s">
        <v>140</v>
      </c>
      <c r="B29" s="11"/>
      <c r="C29" s="12" t="s">
        <v>141</v>
      </c>
      <c r="D29" s="13"/>
      <c r="E29" s="4"/>
      <c r="F29" s="5"/>
    </row>
    <row r="30" spans="1:6">
      <c r="A30" s="10" t="s">
        <v>142</v>
      </c>
      <c r="B30" s="11"/>
      <c r="C30" s="12" t="s">
        <v>143</v>
      </c>
      <c r="D30" s="13"/>
      <c r="E30" s="4"/>
      <c r="F30" s="5"/>
    </row>
    <row r="31" spans="1:6">
      <c r="A31" s="10" t="s">
        <v>144</v>
      </c>
      <c r="B31" s="11"/>
      <c r="C31" s="12" t="s">
        <v>145</v>
      </c>
      <c r="D31" s="13"/>
      <c r="E31" s="4"/>
      <c r="F31" s="5"/>
    </row>
    <row r="32" spans="1:6">
      <c r="A32" s="10" t="s">
        <v>146</v>
      </c>
      <c r="B32" s="11"/>
      <c r="C32" s="12" t="s">
        <v>147</v>
      </c>
      <c r="D32" s="13"/>
      <c r="E32" s="4"/>
      <c r="F32" s="5"/>
    </row>
    <row r="33" spans="1:6">
      <c r="A33" s="10"/>
      <c r="B33" s="11"/>
      <c r="C33" s="12" t="s">
        <v>78</v>
      </c>
      <c r="D33" s="13"/>
      <c r="E33" s="4"/>
      <c r="F33" s="5"/>
    </row>
    <row r="34" spans="1:6">
      <c r="A34" s="10" t="s">
        <v>148</v>
      </c>
      <c r="B34" s="11"/>
      <c r="C34" s="12" t="s">
        <v>149</v>
      </c>
      <c r="D34" s="13"/>
      <c r="E34" s="4"/>
      <c r="F34" s="5"/>
    </row>
    <row r="35" spans="1:6">
      <c r="A35" s="6" t="s">
        <v>150</v>
      </c>
      <c r="B35" s="7"/>
      <c r="C35" s="8" t="s">
        <v>151</v>
      </c>
      <c r="D35" s="9"/>
      <c r="E35" s="22">
        <f>E8+E9+E11+E13+E14+E17+E19+E22</f>
        <v>0</v>
      </c>
      <c r="F35" s="23">
        <f>F8+F9+F11+F13+F14+F17+F19+F22+F21</f>
        <v>4010.7016079071263</v>
      </c>
    </row>
    <row r="36" spans="1:6">
      <c r="A36" s="10"/>
      <c r="B36" s="11"/>
      <c r="C36" s="12" t="s">
        <v>112</v>
      </c>
      <c r="D36" s="13"/>
      <c r="E36" s="4"/>
      <c r="F36" s="5"/>
    </row>
    <row r="37" spans="1:6">
      <c r="A37" s="10" t="s">
        <v>152</v>
      </c>
      <c r="B37" s="11"/>
      <c r="C37" s="12" t="s">
        <v>153</v>
      </c>
      <c r="D37" s="13"/>
      <c r="E37" s="4"/>
      <c r="F37" s="5"/>
    </row>
    <row r="38" spans="1:6" ht="25.5">
      <c r="A38" s="14" t="s">
        <v>154</v>
      </c>
      <c r="B38" s="11"/>
      <c r="C38" s="12" t="s">
        <v>155</v>
      </c>
      <c r="D38" s="13"/>
      <c r="E38" s="4"/>
      <c r="F38" s="5"/>
    </row>
    <row r="39" spans="1:6">
      <c r="A39" s="6" t="s">
        <v>156</v>
      </c>
      <c r="B39" s="7"/>
      <c r="C39" s="8" t="s">
        <v>157</v>
      </c>
      <c r="D39" s="9"/>
      <c r="E39" s="22">
        <f>E35+E37-E38</f>
        <v>0</v>
      </c>
      <c r="F39" s="23">
        <f>F35+F37-F38</f>
        <v>4010.7016079071263</v>
      </c>
    </row>
    <row r="40" spans="1:6">
      <c r="A40" s="10"/>
      <c r="B40" s="11"/>
      <c r="C40" s="12" t="s">
        <v>158</v>
      </c>
      <c r="D40" s="13"/>
      <c r="E40" s="4"/>
      <c r="F40" s="5"/>
    </row>
    <row r="41" spans="1:6">
      <c r="A41" s="10" t="s">
        <v>159</v>
      </c>
      <c r="B41" s="11"/>
      <c r="C41" s="24" t="s">
        <v>160</v>
      </c>
      <c r="D41" s="13"/>
      <c r="E41" s="4"/>
      <c r="F41" s="5"/>
    </row>
    <row r="42" spans="1:6">
      <c r="A42" s="10" t="s">
        <v>161</v>
      </c>
      <c r="B42" s="11"/>
      <c r="C42" s="12" t="s">
        <v>162</v>
      </c>
      <c r="D42" s="13"/>
      <c r="E42" s="4"/>
      <c r="F42" s="5"/>
    </row>
    <row r="43" spans="1:6">
      <c r="A43" s="10" t="s">
        <v>163</v>
      </c>
      <c r="B43" s="11"/>
      <c r="C43" s="12" t="s">
        <v>164</v>
      </c>
      <c r="D43" s="13"/>
      <c r="E43" s="4"/>
      <c r="F43" s="5"/>
    </row>
    <row r="44" spans="1:6">
      <c r="A44" s="6" t="s">
        <v>165</v>
      </c>
      <c r="B44" s="7"/>
      <c r="C44" s="8" t="s">
        <v>166</v>
      </c>
      <c r="D44" s="9"/>
      <c r="E44" s="22">
        <f>E39</f>
        <v>0</v>
      </c>
      <c r="F44" s="23">
        <f>F39</f>
        <v>4010.7016079071263</v>
      </c>
    </row>
    <row r="45" spans="1:6">
      <c r="A45" s="10" t="s">
        <v>167</v>
      </c>
      <c r="B45" s="11"/>
      <c r="C45" s="24" t="s">
        <v>168</v>
      </c>
      <c r="D45" s="13"/>
      <c r="E45" s="4"/>
      <c r="F45" s="5"/>
    </row>
    <row r="46" spans="1:6">
      <c r="A46" s="10" t="s">
        <v>169</v>
      </c>
      <c r="B46" s="11"/>
      <c r="C46" s="12" t="s">
        <v>170</v>
      </c>
      <c r="D46" s="13"/>
      <c r="E46" s="4"/>
      <c r="F46" s="5"/>
    </row>
    <row r="47" spans="1:6">
      <c r="A47" s="10" t="s">
        <v>171</v>
      </c>
      <c r="B47" s="11"/>
      <c r="C47" s="12" t="s">
        <v>172</v>
      </c>
      <c r="D47" s="13"/>
      <c r="E47" s="4"/>
      <c r="F47" s="5"/>
    </row>
    <row r="48" spans="1:6">
      <c r="A48" s="10" t="s">
        <v>173</v>
      </c>
      <c r="B48" s="11"/>
      <c r="C48" s="25" t="s">
        <v>174</v>
      </c>
      <c r="D48" s="13"/>
      <c r="E48" s="4"/>
      <c r="F48" s="5"/>
    </row>
    <row r="49" spans="1:6">
      <c r="A49" s="10" t="s">
        <v>175</v>
      </c>
      <c r="B49" s="11"/>
      <c r="C49" s="24" t="s">
        <v>176</v>
      </c>
      <c r="D49" s="13"/>
      <c r="E49" s="4"/>
      <c r="F49" s="5"/>
    </row>
    <row r="50" spans="1:6" ht="6" customHeight="1"/>
    <row r="51" spans="1:6" s="26" customFormat="1" ht="22.5" customHeight="1">
      <c r="A51" s="765" t="s">
        <v>177</v>
      </c>
      <c r="B51" s="765"/>
      <c r="C51" s="765"/>
      <c r="D51" s="765"/>
      <c r="E51" s="765"/>
      <c r="F51" s="765"/>
    </row>
    <row r="52" spans="1:6" ht="3" customHeight="1"/>
  </sheetData>
  <sheetProtection selectLockedCells="1" selectUnlockedCells="1"/>
  <mergeCells count="4">
    <mergeCell ref="A3:F3"/>
    <mergeCell ref="B6:D6"/>
    <mergeCell ref="B7:D7"/>
    <mergeCell ref="A51:F51"/>
  </mergeCells>
  <phoneticPr fontId="23" type="noConversion"/>
  <pageMargins left="0.78749999999999998" right="0.39374999999999999" top="0.39374999999999999" bottom="0.39374999999999999" header="0.51180555555555551" footer="0.51180555555555551"/>
  <pageSetup paperSize="9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workbookViewId="0">
      <selection activeCell="F1" sqref="F1"/>
    </sheetView>
  </sheetViews>
  <sheetFormatPr defaultRowHeight="15.75"/>
  <cols>
    <col min="1" max="1" width="5.85546875" style="570" customWidth="1"/>
    <col min="2" max="2" width="0.5703125" style="570" customWidth="1"/>
    <col min="3" max="3" width="51.42578125" style="570" customWidth="1"/>
    <col min="4" max="4" width="1.42578125" style="570" customWidth="1"/>
    <col min="5" max="5" width="15.5703125" style="570" customWidth="1"/>
    <col min="6" max="6" width="16.85546875" style="570" customWidth="1"/>
    <col min="7" max="16384" width="9.140625" style="570"/>
  </cols>
  <sheetData>
    <row r="1" spans="1:6">
      <c r="F1" s="571" t="s">
        <v>254</v>
      </c>
    </row>
    <row r="3" spans="1:6" ht="16.5">
      <c r="A3" s="695" t="s">
        <v>255</v>
      </c>
      <c r="B3" s="695"/>
      <c r="C3" s="695"/>
      <c r="D3" s="695"/>
      <c r="E3" s="695"/>
      <c r="F3" s="695"/>
    </row>
    <row r="4" spans="1:6" ht="16.5">
      <c r="A4" s="695" t="s">
        <v>256</v>
      </c>
      <c r="B4" s="695"/>
      <c r="C4" s="695"/>
      <c r="D4" s="695"/>
      <c r="E4" s="695"/>
      <c r="F4" s="695"/>
    </row>
    <row r="6" spans="1:6" ht="20.25" customHeight="1">
      <c r="F6" s="572" t="s">
        <v>108</v>
      </c>
    </row>
    <row r="7" spans="1:6" ht="33" customHeight="1">
      <c r="A7" s="573" t="s">
        <v>3</v>
      </c>
      <c r="B7" s="767" t="s">
        <v>4</v>
      </c>
      <c r="C7" s="767"/>
      <c r="D7" s="767"/>
      <c r="E7" s="573" t="s">
        <v>257</v>
      </c>
      <c r="F7" s="574" t="s">
        <v>7</v>
      </c>
    </row>
    <row r="8" spans="1:6" ht="47.25">
      <c r="A8" s="575" t="s">
        <v>258</v>
      </c>
      <c r="B8" s="576"/>
      <c r="C8" s="577" t="s">
        <v>259</v>
      </c>
      <c r="D8" s="578"/>
      <c r="E8" s="579">
        <v>0</v>
      </c>
      <c r="F8" s="580">
        <v>0</v>
      </c>
    </row>
    <row r="9" spans="1:6">
      <c r="A9" s="581" t="s">
        <v>59</v>
      </c>
      <c r="B9" s="576"/>
      <c r="C9" s="577" t="s">
        <v>260</v>
      </c>
      <c r="D9" s="578"/>
      <c r="E9" s="579">
        <v>0</v>
      </c>
      <c r="F9" s="580">
        <f>П1.17.1!F23</f>
        <v>0</v>
      </c>
    </row>
    <row r="10" spans="1:6">
      <c r="A10" s="581" t="s">
        <v>61</v>
      </c>
      <c r="B10" s="576"/>
      <c r="C10" s="577" t="s">
        <v>261</v>
      </c>
      <c r="D10" s="578"/>
      <c r="E10" s="579">
        <f>П1.17.1!F23</f>
        <v>0</v>
      </c>
      <c r="F10" s="580">
        <v>0</v>
      </c>
    </row>
    <row r="11" spans="1:6" ht="31.5">
      <c r="A11" s="575" t="s">
        <v>63</v>
      </c>
      <c r="B11" s="576"/>
      <c r="C11" s="577" t="s">
        <v>262</v>
      </c>
      <c r="D11" s="578"/>
      <c r="E11" s="579">
        <v>0</v>
      </c>
      <c r="F11" s="580">
        <f>F8+F9-F10</f>
        <v>0</v>
      </c>
    </row>
    <row r="12" spans="1:6">
      <c r="A12" s="581" t="s">
        <v>263</v>
      </c>
      <c r="B12" s="576"/>
      <c r="C12" s="577" t="s">
        <v>264</v>
      </c>
      <c r="D12" s="578"/>
      <c r="E12" s="579">
        <v>0</v>
      </c>
      <c r="F12" s="580">
        <v>0</v>
      </c>
    </row>
    <row r="13" spans="1:6">
      <c r="A13" s="581" t="s">
        <v>120</v>
      </c>
      <c r="B13" s="576"/>
      <c r="C13" s="577" t="s">
        <v>265</v>
      </c>
      <c r="D13" s="578"/>
      <c r="E13" s="579">
        <v>0</v>
      </c>
      <c r="F13" s="580">
        <f>П1.17.1!I23</f>
        <v>0</v>
      </c>
    </row>
    <row r="14" spans="1:6" ht="12.6" customHeight="1"/>
    <row r="15" spans="1:6" ht="29.85" customHeight="1">
      <c r="A15" s="768" t="s">
        <v>266</v>
      </c>
      <c r="B15" s="768"/>
      <c r="C15" s="768"/>
      <c r="D15" s="768"/>
      <c r="E15" s="768"/>
      <c r="F15" s="768"/>
    </row>
    <row r="16" spans="1:6" ht="8.25" customHeight="1"/>
    <row r="17" spans="1:6" ht="44.85" customHeight="1">
      <c r="A17" s="766" t="s">
        <v>267</v>
      </c>
      <c r="B17" s="766"/>
      <c r="C17" s="766"/>
      <c r="D17" s="766"/>
      <c r="E17" s="766"/>
      <c r="F17" s="766"/>
    </row>
    <row r="18" spans="1:6" ht="3" customHeight="1"/>
    <row r="19" spans="1:6">
      <c r="C19" s="570" t="s">
        <v>614</v>
      </c>
    </row>
    <row r="20" spans="1:6">
      <c r="C20" s="570" t="s">
        <v>615</v>
      </c>
    </row>
  </sheetData>
  <sheetProtection selectLockedCells="1" selectUnlockedCells="1"/>
  <mergeCells count="5">
    <mergeCell ref="A17:F17"/>
    <mergeCell ref="A3:F3"/>
    <mergeCell ref="A4:F4"/>
    <mergeCell ref="B7:D7"/>
    <mergeCell ref="A15:F15"/>
  </mergeCells>
  <phoneticPr fontId="23" type="noConversion"/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topLeftCell="A22" workbookViewId="0">
      <selection activeCell="F1" sqref="F1"/>
    </sheetView>
  </sheetViews>
  <sheetFormatPr defaultRowHeight="15.75"/>
  <cols>
    <col min="1" max="1" width="0.5703125" style="27" customWidth="1"/>
    <col min="2" max="2" width="34.7109375" style="27" customWidth="1"/>
    <col min="3" max="3" width="0.5703125" style="27" customWidth="1"/>
    <col min="4" max="4" width="16.5703125" style="27" customWidth="1"/>
    <col min="5" max="5" width="20" style="27" customWidth="1"/>
    <col min="6" max="6" width="17.42578125" style="27" customWidth="1"/>
    <col min="7" max="7" width="13.140625" style="27" customWidth="1"/>
    <col min="8" max="8" width="17.28515625" style="27" customWidth="1"/>
    <col min="9" max="9" width="15.28515625" style="27" customWidth="1"/>
    <col min="10" max="16384" width="9.140625" style="27"/>
  </cols>
  <sheetData>
    <row r="1" spans="1:9">
      <c r="I1" s="28" t="s">
        <v>268</v>
      </c>
    </row>
    <row r="3" spans="1:9" ht="16.5">
      <c r="A3" s="769" t="s">
        <v>269</v>
      </c>
      <c r="B3" s="769"/>
      <c r="C3" s="769"/>
      <c r="D3" s="769"/>
      <c r="E3" s="769"/>
      <c r="F3" s="769"/>
      <c r="G3" s="769"/>
      <c r="H3" s="769"/>
      <c r="I3" s="769"/>
    </row>
    <row r="4" spans="1:9" ht="16.5">
      <c r="A4" s="769" t="s">
        <v>270</v>
      </c>
      <c r="B4" s="769"/>
      <c r="C4" s="769"/>
      <c r="D4" s="769"/>
      <c r="E4" s="769"/>
      <c r="F4" s="769"/>
      <c r="G4" s="769"/>
      <c r="H4" s="769"/>
      <c r="I4" s="769"/>
    </row>
    <row r="5" spans="1:9">
      <c r="I5" s="29" t="s">
        <v>108</v>
      </c>
    </row>
    <row r="6" spans="1:9" ht="63" customHeight="1">
      <c r="A6" s="770"/>
      <c r="B6" s="770"/>
      <c r="C6" s="770"/>
      <c r="D6" s="30" t="s">
        <v>271</v>
      </c>
      <c r="E6" s="30" t="s">
        <v>260</v>
      </c>
      <c r="F6" s="30" t="s">
        <v>261</v>
      </c>
      <c r="G6" s="30" t="s">
        <v>272</v>
      </c>
      <c r="H6" s="30" t="s">
        <v>273</v>
      </c>
      <c r="I6" s="30" t="s">
        <v>274</v>
      </c>
    </row>
    <row r="7" spans="1:9">
      <c r="A7" s="34"/>
      <c r="B7" s="35" t="s">
        <v>275</v>
      </c>
      <c r="C7" s="36"/>
      <c r="D7" s="32"/>
      <c r="E7" s="32"/>
      <c r="F7" s="32"/>
      <c r="G7" s="32"/>
      <c r="H7" s="32"/>
      <c r="I7" s="32"/>
    </row>
    <row r="8" spans="1:9">
      <c r="A8" s="34"/>
      <c r="B8" s="35" t="s">
        <v>276</v>
      </c>
      <c r="C8" s="36"/>
      <c r="D8" s="32">
        <f t="shared" ref="D8:I8" si="0">D9+D10+D11+D12</f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</row>
    <row r="9" spans="1:9">
      <c r="A9" s="34"/>
      <c r="B9" s="37" t="s">
        <v>8</v>
      </c>
      <c r="C9" s="36"/>
      <c r="D9" s="32"/>
      <c r="E9" s="32"/>
      <c r="F9" s="32"/>
      <c r="G9" s="32"/>
      <c r="H9" s="32"/>
      <c r="I9" s="32"/>
    </row>
    <row r="10" spans="1:9">
      <c r="A10" s="34"/>
      <c r="B10" s="37" t="s">
        <v>9</v>
      </c>
      <c r="C10" s="36"/>
      <c r="D10" s="32"/>
      <c r="E10" s="32"/>
      <c r="F10" s="32"/>
      <c r="G10" s="32"/>
      <c r="H10" s="32"/>
      <c r="I10" s="32"/>
    </row>
    <row r="11" spans="1:9">
      <c r="A11" s="34"/>
      <c r="B11" s="37" t="s">
        <v>10</v>
      </c>
      <c r="C11" s="36"/>
      <c r="D11" s="32"/>
      <c r="E11" s="32"/>
      <c r="F11" s="32"/>
      <c r="G11" s="32"/>
      <c r="H11" s="32"/>
      <c r="I11" s="32"/>
    </row>
    <row r="12" spans="1:9">
      <c r="A12" s="34"/>
      <c r="B12" s="37" t="s">
        <v>11</v>
      </c>
      <c r="C12" s="36"/>
      <c r="D12" s="32"/>
      <c r="E12" s="32"/>
      <c r="F12" s="32"/>
      <c r="G12" s="32"/>
      <c r="H12" s="32"/>
      <c r="I12" s="32"/>
    </row>
    <row r="13" spans="1:9">
      <c r="A13" s="34"/>
      <c r="B13" s="35" t="s">
        <v>277</v>
      </c>
      <c r="C13" s="36"/>
      <c r="D13" s="32">
        <f t="shared" ref="D13:I13" si="1">D14+D15+D16+D17</f>
        <v>0</v>
      </c>
      <c r="E13" s="32">
        <f t="shared" si="1"/>
        <v>0</v>
      </c>
      <c r="F13" s="32">
        <f t="shared" si="1"/>
        <v>0</v>
      </c>
      <c r="G13" s="32">
        <f t="shared" si="1"/>
        <v>0</v>
      </c>
      <c r="H13" s="32">
        <f t="shared" si="1"/>
        <v>0</v>
      </c>
      <c r="I13" s="32">
        <f t="shared" si="1"/>
        <v>0</v>
      </c>
    </row>
    <row r="14" spans="1:9">
      <c r="A14" s="34"/>
      <c r="B14" s="37" t="s">
        <v>8</v>
      </c>
      <c r="C14" s="36"/>
      <c r="D14" s="32"/>
      <c r="E14" s="32"/>
      <c r="F14" s="32"/>
      <c r="G14" s="32"/>
      <c r="H14" s="32"/>
      <c r="I14" s="32"/>
    </row>
    <row r="15" spans="1:9">
      <c r="A15" s="34"/>
      <c r="B15" s="37" t="s">
        <v>9</v>
      </c>
      <c r="C15" s="36"/>
      <c r="D15" s="32"/>
      <c r="E15" s="32"/>
      <c r="F15" s="32"/>
      <c r="G15" s="32"/>
      <c r="H15" s="32"/>
      <c r="I15" s="32"/>
    </row>
    <row r="16" spans="1:9">
      <c r="A16" s="34"/>
      <c r="B16" s="37" t="s">
        <v>10</v>
      </c>
      <c r="C16" s="36"/>
      <c r="D16" s="32"/>
      <c r="E16" s="32"/>
      <c r="F16" s="32"/>
      <c r="G16" s="32"/>
      <c r="H16" s="32"/>
      <c r="I16" s="32"/>
    </row>
    <row r="17" spans="1:9">
      <c r="A17" s="34"/>
      <c r="B17" s="37" t="s">
        <v>11</v>
      </c>
      <c r="C17" s="36"/>
      <c r="D17" s="32"/>
      <c r="E17" s="32"/>
      <c r="F17" s="32"/>
      <c r="G17" s="32"/>
      <c r="H17" s="32"/>
      <c r="I17" s="32"/>
    </row>
    <row r="18" spans="1:9">
      <c r="A18" s="34"/>
      <c r="B18" s="35" t="s">
        <v>278</v>
      </c>
      <c r="C18" s="36"/>
      <c r="D18" s="32">
        <f t="shared" ref="D18:I18" si="2">D19+D20+D21+D22</f>
        <v>0</v>
      </c>
      <c r="E18" s="32">
        <f t="shared" si="2"/>
        <v>0</v>
      </c>
      <c r="F18" s="32">
        <f t="shared" si="2"/>
        <v>0</v>
      </c>
      <c r="G18" s="32">
        <f t="shared" si="2"/>
        <v>0</v>
      </c>
      <c r="H18" s="32">
        <f>H19+H20+H21+H22</f>
        <v>0</v>
      </c>
      <c r="I18" s="32">
        <f t="shared" si="2"/>
        <v>0</v>
      </c>
    </row>
    <row r="19" spans="1:9">
      <c r="A19" s="34"/>
      <c r="B19" s="37" t="s">
        <v>8</v>
      </c>
      <c r="C19" s="36"/>
      <c r="D19" s="32"/>
      <c r="E19" s="32"/>
      <c r="F19" s="32"/>
      <c r="G19" s="32"/>
      <c r="H19" s="32"/>
      <c r="I19" s="32"/>
    </row>
    <row r="20" spans="1:9">
      <c r="A20" s="34"/>
      <c r="B20" s="37" t="s">
        <v>9</v>
      </c>
      <c r="C20" s="36"/>
      <c r="D20" s="32"/>
      <c r="E20" s="32"/>
      <c r="F20" s="32"/>
      <c r="G20" s="32"/>
      <c r="H20" s="32"/>
      <c r="I20" s="32"/>
    </row>
    <row r="21" spans="1:9">
      <c r="A21" s="34"/>
      <c r="B21" s="37" t="s">
        <v>10</v>
      </c>
      <c r="C21" s="36"/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</row>
    <row r="22" spans="1:9">
      <c r="A22" s="34"/>
      <c r="B22" s="37" t="s">
        <v>11</v>
      </c>
      <c r="C22" s="36"/>
      <c r="D22" s="32"/>
      <c r="E22" s="32"/>
      <c r="F22" s="32"/>
      <c r="G22" s="32"/>
      <c r="H22" s="32"/>
      <c r="I22" s="32"/>
    </row>
    <row r="23" spans="1:9">
      <c r="A23" s="34"/>
      <c r="B23" s="35" t="s">
        <v>279</v>
      </c>
      <c r="C23" s="36"/>
      <c r="D23" s="32">
        <f t="shared" ref="D23:I23" si="3">D24+D25+D26+D27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>H24+H25+H26+H27</f>
        <v>0</v>
      </c>
      <c r="I23" s="32">
        <f t="shared" si="3"/>
        <v>0</v>
      </c>
    </row>
    <row r="24" spans="1:9">
      <c r="A24" s="34"/>
      <c r="B24" s="37" t="s">
        <v>8</v>
      </c>
      <c r="C24" s="36"/>
      <c r="D24" s="32">
        <f t="shared" ref="D24:I24" si="4">D19+D14+D9</f>
        <v>0</v>
      </c>
      <c r="E24" s="32">
        <f t="shared" si="4"/>
        <v>0</v>
      </c>
      <c r="F24" s="32">
        <f t="shared" si="4"/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</row>
    <row r="25" spans="1:9">
      <c r="A25" s="34"/>
      <c r="B25" s="37" t="s">
        <v>9</v>
      </c>
      <c r="C25" s="36"/>
      <c r="D25" s="32">
        <f t="shared" ref="D25:I25" si="5">D10+D15+D20</f>
        <v>0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>H10+H15+H20</f>
        <v>0</v>
      </c>
      <c r="I25" s="32">
        <f t="shared" si="5"/>
        <v>0</v>
      </c>
    </row>
    <row r="26" spans="1:9">
      <c r="A26" s="34"/>
      <c r="B26" s="37" t="s">
        <v>10</v>
      </c>
      <c r="C26" s="36"/>
      <c r="D26" s="32">
        <f t="shared" ref="D26:I27" si="6">D21+D16+D11</f>
        <v>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>H21+H16+H11</f>
        <v>0</v>
      </c>
      <c r="I26" s="32">
        <f t="shared" si="6"/>
        <v>0</v>
      </c>
    </row>
    <row r="27" spans="1:9">
      <c r="A27" s="34"/>
      <c r="B27" s="37" t="s">
        <v>11</v>
      </c>
      <c r="C27" s="36"/>
      <c r="D27" s="32">
        <f t="shared" si="6"/>
        <v>0</v>
      </c>
      <c r="E27" s="32">
        <f t="shared" si="6"/>
        <v>0</v>
      </c>
      <c r="F27" s="32">
        <f t="shared" si="6"/>
        <v>0</v>
      </c>
      <c r="G27" s="32">
        <f>G22+G17+G12</f>
        <v>0</v>
      </c>
      <c r="H27" s="32">
        <f>H22+H17+H12</f>
        <v>0</v>
      </c>
      <c r="I27" s="32">
        <f t="shared" si="6"/>
        <v>0</v>
      </c>
    </row>
  </sheetData>
  <sheetProtection selectLockedCells="1" selectUnlockedCells="1"/>
  <mergeCells count="3">
    <mergeCell ref="A3:I3"/>
    <mergeCell ref="A4:I4"/>
    <mergeCell ref="A6:C6"/>
  </mergeCells>
  <phoneticPr fontId="23" type="noConversion"/>
  <pageMargins left="0.78749999999999998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3:E31"/>
  <sheetViews>
    <sheetView topLeftCell="A25" workbookViewId="0">
      <selection activeCell="F1" sqref="F1"/>
    </sheetView>
  </sheetViews>
  <sheetFormatPr defaultRowHeight="15.75"/>
  <cols>
    <col min="1" max="1" width="5.42578125" style="27" customWidth="1"/>
    <col min="2" max="2" width="0" style="27" hidden="1" customWidth="1"/>
    <col min="3" max="3" width="39.140625" style="27" customWidth="1"/>
    <col min="4" max="4" width="14.85546875" style="27" customWidth="1"/>
    <col min="5" max="5" width="16.5703125" style="27" customWidth="1"/>
    <col min="6" max="16384" width="9.140625" style="27"/>
  </cols>
  <sheetData>
    <row r="3" spans="1:5" ht="16.5">
      <c r="A3" s="769" t="s">
        <v>283</v>
      </c>
      <c r="B3" s="769"/>
      <c r="C3" s="769"/>
      <c r="D3" s="769"/>
      <c r="E3" s="769"/>
    </row>
    <row r="4" spans="1:5" ht="16.5">
      <c r="A4" s="769" t="s">
        <v>284</v>
      </c>
      <c r="B4" s="769"/>
      <c r="C4" s="769"/>
      <c r="D4" s="769"/>
      <c r="E4" s="769"/>
    </row>
    <row r="5" spans="1:5" ht="16.5">
      <c r="A5" s="38"/>
      <c r="B5" s="38"/>
      <c r="C5" s="38"/>
      <c r="D5" s="38"/>
      <c r="E5" s="38"/>
    </row>
    <row r="6" spans="1:5" ht="20.25" customHeight="1"/>
    <row r="7" spans="1:5" ht="42.75" customHeight="1">
      <c r="A7" s="30" t="s">
        <v>3</v>
      </c>
      <c r="B7" s="770" t="s">
        <v>280</v>
      </c>
      <c r="C7" s="770"/>
      <c r="D7" s="281" t="s">
        <v>6</v>
      </c>
      <c r="E7" s="281" t="s">
        <v>7</v>
      </c>
    </row>
    <row r="8" spans="1:5">
      <c r="A8" s="32">
        <v>1</v>
      </c>
      <c r="B8" s="774">
        <v>2</v>
      </c>
      <c r="C8" s="774"/>
      <c r="D8" s="282">
        <v>3</v>
      </c>
      <c r="E8" s="282">
        <v>5</v>
      </c>
    </row>
    <row r="9" spans="1:5">
      <c r="A9" s="775">
        <v>1</v>
      </c>
      <c r="B9" s="31"/>
      <c r="C9" s="40" t="s">
        <v>285</v>
      </c>
      <c r="D9" s="283">
        <v>0</v>
      </c>
      <c r="E9" s="283">
        <v>0</v>
      </c>
    </row>
    <row r="10" spans="1:5">
      <c r="A10" s="775"/>
      <c r="B10" s="31"/>
      <c r="C10" s="40" t="s">
        <v>158</v>
      </c>
      <c r="D10" s="283"/>
      <c r="E10" s="283"/>
    </row>
    <row r="11" spans="1:5">
      <c r="A11" s="775"/>
      <c r="B11" s="31"/>
      <c r="C11" s="41" t="s">
        <v>286</v>
      </c>
      <c r="D11" s="283">
        <f>D9</f>
        <v>0</v>
      </c>
      <c r="E11" s="283">
        <f>E9</f>
        <v>0</v>
      </c>
    </row>
    <row r="12" spans="1:5">
      <c r="A12" s="775">
        <v>2</v>
      </c>
      <c r="B12" s="31"/>
      <c r="C12" s="40" t="s">
        <v>287</v>
      </c>
      <c r="D12" s="283"/>
      <c r="E12" s="283"/>
    </row>
    <row r="13" spans="1:5">
      <c r="A13" s="775"/>
      <c r="B13" s="31"/>
      <c r="C13" s="40" t="s">
        <v>158</v>
      </c>
      <c r="D13" s="283"/>
      <c r="E13" s="283"/>
    </row>
    <row r="14" spans="1:5">
      <c r="A14" s="775"/>
      <c r="B14" s="31"/>
      <c r="C14" s="41" t="s">
        <v>286</v>
      </c>
      <c r="D14" s="283"/>
      <c r="E14" s="283"/>
    </row>
    <row r="15" spans="1:5">
      <c r="A15" s="32">
        <v>3</v>
      </c>
      <c r="B15" s="31"/>
      <c r="C15" s="40" t="s">
        <v>288</v>
      </c>
      <c r="D15" s="283"/>
      <c r="E15" s="283"/>
    </row>
    <row r="16" spans="1:5">
      <c r="A16" s="32">
        <v>4</v>
      </c>
      <c r="B16" s="31"/>
      <c r="C16" s="40" t="s">
        <v>289</v>
      </c>
      <c r="D16" s="283"/>
      <c r="E16" s="283"/>
    </row>
    <row r="17" spans="1:5">
      <c r="A17" s="32">
        <v>5</v>
      </c>
      <c r="B17" s="31"/>
      <c r="C17" s="40" t="s">
        <v>290</v>
      </c>
      <c r="D17" s="283"/>
      <c r="E17" s="283"/>
    </row>
    <row r="18" spans="1:5">
      <c r="A18" s="32"/>
      <c r="B18" s="31"/>
      <c r="C18" s="41" t="s">
        <v>291</v>
      </c>
      <c r="D18" s="283"/>
      <c r="E18" s="283"/>
    </row>
    <row r="19" spans="1:5">
      <c r="A19" s="32"/>
      <c r="B19" s="31"/>
      <c r="C19" s="41" t="s">
        <v>292</v>
      </c>
      <c r="D19" s="283"/>
      <c r="E19" s="283"/>
    </row>
    <row r="20" spans="1:5">
      <c r="A20" s="32"/>
      <c r="B20" s="31"/>
      <c r="C20" s="41" t="s">
        <v>293</v>
      </c>
      <c r="D20" s="283"/>
      <c r="E20" s="283"/>
    </row>
    <row r="21" spans="1:5">
      <c r="A21" s="32">
        <v>6</v>
      </c>
      <c r="B21" s="31"/>
      <c r="C21" s="40" t="s">
        <v>294</v>
      </c>
      <c r="D21" s="283">
        <f>D9+D12+D15+D16+D17</f>
        <v>0</v>
      </c>
      <c r="E21" s="283">
        <f>E9+E12+E15+E16+E17</f>
        <v>0</v>
      </c>
    </row>
    <row r="22" spans="1:5">
      <c r="A22" s="32">
        <v>7</v>
      </c>
      <c r="B22" s="31"/>
      <c r="C22" s="40" t="s">
        <v>295</v>
      </c>
      <c r="D22" s="283">
        <f>D24+D25+D26+D27</f>
        <v>0</v>
      </c>
      <c r="E22" s="283">
        <v>0</v>
      </c>
    </row>
    <row r="23" spans="1:5">
      <c r="A23" s="32"/>
      <c r="B23" s="31"/>
      <c r="C23" s="40" t="s">
        <v>158</v>
      </c>
      <c r="D23" s="283"/>
      <c r="E23" s="283"/>
    </row>
    <row r="24" spans="1:5">
      <c r="A24" s="32"/>
      <c r="B24" s="31"/>
      <c r="C24" s="41" t="s">
        <v>296</v>
      </c>
      <c r="D24" s="283"/>
      <c r="E24" s="283"/>
    </row>
    <row r="25" spans="1:5">
      <c r="A25" s="32"/>
      <c r="B25" s="31"/>
      <c r="C25" s="41" t="s">
        <v>297</v>
      </c>
      <c r="D25" s="283"/>
      <c r="E25" s="283"/>
    </row>
    <row r="26" spans="1:5" ht="31.5">
      <c r="A26" s="771"/>
      <c r="B26" s="31"/>
      <c r="C26" s="41" t="s">
        <v>298</v>
      </c>
      <c r="D26" s="283"/>
      <c r="E26" s="283"/>
    </row>
    <row r="27" spans="1:5" ht="31.5">
      <c r="A27" s="772"/>
      <c r="B27" s="31"/>
      <c r="C27" s="41" t="s">
        <v>299</v>
      </c>
      <c r="D27" s="283"/>
      <c r="E27" s="283"/>
    </row>
    <row r="28" spans="1:5">
      <c r="A28" s="773"/>
      <c r="B28" s="31"/>
      <c r="C28" s="41" t="s">
        <v>38</v>
      </c>
      <c r="D28" s="283"/>
      <c r="E28" s="283"/>
    </row>
    <row r="29" spans="1:5">
      <c r="A29" s="32">
        <v>8</v>
      </c>
      <c r="B29" s="31"/>
      <c r="C29" s="40" t="s">
        <v>300</v>
      </c>
      <c r="D29" s="283">
        <f>D22+D21</f>
        <v>0</v>
      </c>
      <c r="E29" s="283">
        <f>E22+E21</f>
        <v>0</v>
      </c>
    </row>
    <row r="31" spans="1:5">
      <c r="C31" s="27" t="s">
        <v>613</v>
      </c>
    </row>
  </sheetData>
  <sheetProtection selectLockedCells="1" selectUnlockedCells="1"/>
  <mergeCells count="7">
    <mergeCell ref="A3:E3"/>
    <mergeCell ref="A4:E4"/>
    <mergeCell ref="B7:C7"/>
    <mergeCell ref="A26:A28"/>
    <mergeCell ref="B8:C8"/>
    <mergeCell ref="A9:A11"/>
    <mergeCell ref="A12:A14"/>
  </mergeCells>
  <phoneticPr fontId="23" type="noConversion"/>
  <pageMargins left="0.39374999999999999" right="0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/>
  </sheetPr>
  <dimension ref="B1:J65"/>
  <sheetViews>
    <sheetView workbookViewId="0">
      <selection activeCell="G4" sqref="G4"/>
    </sheetView>
  </sheetViews>
  <sheetFormatPr defaultRowHeight="15.75"/>
  <cols>
    <col min="1" max="1" width="10.28515625" style="27" customWidth="1"/>
    <col min="2" max="2" width="6.7109375" style="27" customWidth="1"/>
    <col min="3" max="3" width="7" style="27" customWidth="1"/>
    <col min="4" max="4" width="7" style="27" hidden="1" customWidth="1"/>
    <col min="5" max="5" width="10.85546875" style="27" customWidth="1"/>
    <col min="6" max="6" width="13" style="27" customWidth="1"/>
    <col min="7" max="7" width="20" style="27" customWidth="1"/>
    <col min="8" max="8" width="15.28515625" style="27" customWidth="1"/>
    <col min="9" max="9" width="10.85546875" style="27" customWidth="1"/>
    <col min="10" max="10" width="14.42578125" style="27" customWidth="1"/>
    <col min="11" max="16384" width="9.140625" style="27"/>
  </cols>
  <sheetData>
    <row r="1" spans="2:10" s="1" customFormat="1" ht="12.75">
      <c r="J1" s="2" t="s">
        <v>311</v>
      </c>
    </row>
    <row r="2" spans="2:10" ht="5.25" customHeight="1"/>
    <row r="3" spans="2:10">
      <c r="G3" s="27" t="s">
        <v>734</v>
      </c>
      <c r="J3" s="28" t="s">
        <v>312</v>
      </c>
    </row>
    <row r="5" spans="2:10" ht="16.5">
      <c r="C5" s="769" t="s">
        <v>313</v>
      </c>
      <c r="D5" s="769"/>
      <c r="E5" s="769"/>
      <c r="F5" s="769"/>
      <c r="G5" s="769"/>
      <c r="H5" s="769"/>
      <c r="I5" s="769"/>
      <c r="J5" s="769"/>
    </row>
    <row r="6" spans="2:10" ht="16.5" customHeight="1">
      <c r="C6" s="769" t="s">
        <v>314</v>
      </c>
      <c r="D6" s="769"/>
      <c r="E6" s="769"/>
      <c r="F6" s="769"/>
      <c r="G6" s="769"/>
      <c r="H6" s="769"/>
      <c r="I6" s="769"/>
      <c r="J6" s="769"/>
    </row>
    <row r="8" spans="2:10" ht="16.5">
      <c r="C8" s="769" t="s">
        <v>315</v>
      </c>
      <c r="D8" s="769"/>
      <c r="E8" s="769"/>
      <c r="F8" s="769"/>
      <c r="G8" s="769"/>
      <c r="H8" s="769"/>
      <c r="I8" s="769"/>
      <c r="J8" s="769"/>
    </row>
    <row r="9" spans="2:10" ht="16.5">
      <c r="C9" s="769" t="s">
        <v>316</v>
      </c>
      <c r="D9" s="769"/>
      <c r="E9" s="769"/>
      <c r="F9" s="769"/>
      <c r="G9" s="769"/>
      <c r="H9" s="769"/>
      <c r="I9" s="769"/>
      <c r="J9" s="769"/>
    </row>
    <row r="10" spans="2:10" ht="16.5">
      <c r="C10" s="769" t="s">
        <v>317</v>
      </c>
      <c r="D10" s="769"/>
      <c r="E10" s="769"/>
      <c r="F10" s="769"/>
      <c r="G10" s="769"/>
      <c r="H10" s="769"/>
      <c r="I10" s="769"/>
      <c r="J10" s="769"/>
    </row>
    <row r="12" spans="2:10" ht="79.5" customHeight="1">
      <c r="B12" s="790" t="s">
        <v>408</v>
      </c>
      <c r="C12" s="795"/>
      <c r="D12" s="770" t="s">
        <v>318</v>
      </c>
      <c r="E12" s="770"/>
      <c r="F12" s="770" t="s">
        <v>319</v>
      </c>
      <c r="G12" s="770" t="s">
        <v>320</v>
      </c>
      <c r="H12" s="30" t="s">
        <v>321</v>
      </c>
      <c r="I12" s="30" t="s">
        <v>322</v>
      </c>
      <c r="J12" s="30" t="s">
        <v>323</v>
      </c>
    </row>
    <row r="13" spans="2:10">
      <c r="B13" s="790"/>
      <c r="C13" s="795"/>
      <c r="D13" s="770"/>
      <c r="E13" s="770"/>
      <c r="F13" s="770"/>
      <c r="G13" s="770"/>
      <c r="H13" s="32" t="s">
        <v>324</v>
      </c>
      <c r="I13" s="32" t="s">
        <v>45</v>
      </c>
      <c r="J13" s="32" t="s">
        <v>325</v>
      </c>
    </row>
    <row r="14" spans="2:10">
      <c r="B14" s="234">
        <v>1</v>
      </c>
      <c r="C14" s="48">
        <v>2</v>
      </c>
      <c r="D14" s="774">
        <v>2</v>
      </c>
      <c r="E14" s="774"/>
      <c r="F14" s="32">
        <v>3</v>
      </c>
      <c r="G14" s="32">
        <v>4</v>
      </c>
      <c r="H14" s="32">
        <v>5</v>
      </c>
      <c r="I14" s="32">
        <v>6</v>
      </c>
      <c r="J14" s="32">
        <v>7</v>
      </c>
    </row>
    <row r="15" spans="2:10">
      <c r="B15" s="787">
        <v>1</v>
      </c>
      <c r="C15" s="792" t="s">
        <v>276</v>
      </c>
      <c r="D15" s="31"/>
      <c r="E15" s="48">
        <v>1150</v>
      </c>
      <c r="F15" s="32" t="s">
        <v>326</v>
      </c>
      <c r="G15" s="32" t="s">
        <v>327</v>
      </c>
      <c r="H15" s="32">
        <v>800</v>
      </c>
      <c r="I15" s="32"/>
      <c r="J15" s="32">
        <f t="shared" ref="J15:J34" si="0">H15*I15/100</f>
        <v>0</v>
      </c>
    </row>
    <row r="16" spans="2:10">
      <c r="B16" s="788"/>
      <c r="C16" s="793"/>
      <c r="D16" s="31"/>
      <c r="E16" s="48">
        <v>750</v>
      </c>
      <c r="F16" s="32">
        <v>1</v>
      </c>
      <c r="G16" s="32" t="s">
        <v>327</v>
      </c>
      <c r="H16" s="32">
        <v>600</v>
      </c>
      <c r="I16" s="32"/>
      <c r="J16" s="32">
        <f t="shared" si="0"/>
        <v>0</v>
      </c>
    </row>
    <row r="17" spans="2:10">
      <c r="B17" s="788"/>
      <c r="C17" s="793"/>
      <c r="D17" s="43"/>
      <c r="E17" s="776" t="s">
        <v>328</v>
      </c>
      <c r="F17" s="775">
        <v>1</v>
      </c>
      <c r="G17" s="32" t="s">
        <v>327</v>
      </c>
      <c r="H17" s="32">
        <v>400</v>
      </c>
      <c r="I17" s="32"/>
      <c r="J17" s="32">
        <f t="shared" si="0"/>
        <v>0</v>
      </c>
    </row>
    <row r="18" spans="2:10">
      <c r="B18" s="788"/>
      <c r="C18" s="793"/>
      <c r="D18" s="44"/>
      <c r="E18" s="776"/>
      <c r="F18" s="775"/>
      <c r="G18" s="32" t="s">
        <v>329</v>
      </c>
      <c r="H18" s="32">
        <v>300</v>
      </c>
      <c r="I18" s="32"/>
      <c r="J18" s="32">
        <f t="shared" si="0"/>
        <v>0</v>
      </c>
    </row>
    <row r="19" spans="2:10">
      <c r="B19" s="788"/>
      <c r="C19" s="793"/>
      <c r="D19" s="43"/>
      <c r="E19" s="776">
        <v>330</v>
      </c>
      <c r="F19" s="775">
        <v>1</v>
      </c>
      <c r="G19" s="32" t="s">
        <v>327</v>
      </c>
      <c r="H19" s="32">
        <v>230</v>
      </c>
      <c r="I19" s="32"/>
      <c r="J19" s="32">
        <f t="shared" si="0"/>
        <v>0</v>
      </c>
    </row>
    <row r="20" spans="2:10">
      <c r="B20" s="788"/>
      <c r="C20" s="793"/>
      <c r="D20" s="45"/>
      <c r="E20" s="776"/>
      <c r="F20" s="775"/>
      <c r="G20" s="32" t="s">
        <v>329</v>
      </c>
      <c r="H20" s="32">
        <v>170</v>
      </c>
      <c r="I20" s="32"/>
      <c r="J20" s="32">
        <f t="shared" si="0"/>
        <v>0</v>
      </c>
    </row>
    <row r="21" spans="2:10">
      <c r="B21" s="788"/>
      <c r="C21" s="793"/>
      <c r="D21" s="45"/>
      <c r="E21" s="776"/>
      <c r="F21" s="775">
        <v>2</v>
      </c>
      <c r="G21" s="32" t="s">
        <v>327</v>
      </c>
      <c r="H21" s="32">
        <v>290</v>
      </c>
      <c r="I21" s="32"/>
      <c r="J21" s="32">
        <f t="shared" si="0"/>
        <v>0</v>
      </c>
    </row>
    <row r="22" spans="2:10">
      <c r="B22" s="788"/>
      <c r="C22" s="793"/>
      <c r="D22" s="44"/>
      <c r="E22" s="776"/>
      <c r="F22" s="775"/>
      <c r="G22" s="32" t="s">
        <v>329</v>
      </c>
      <c r="H22" s="32">
        <v>210</v>
      </c>
      <c r="I22" s="32"/>
      <c r="J22" s="32">
        <f t="shared" si="0"/>
        <v>0</v>
      </c>
    </row>
    <row r="23" spans="2:10">
      <c r="B23" s="788"/>
      <c r="C23" s="793"/>
      <c r="D23" s="43"/>
      <c r="E23" s="776">
        <v>220</v>
      </c>
      <c r="F23" s="775">
        <v>1</v>
      </c>
      <c r="G23" s="32" t="s">
        <v>330</v>
      </c>
      <c r="H23" s="32">
        <v>260</v>
      </c>
      <c r="I23" s="32"/>
      <c r="J23" s="32">
        <f t="shared" si="0"/>
        <v>0</v>
      </c>
    </row>
    <row r="24" spans="2:10">
      <c r="B24" s="788"/>
      <c r="C24" s="793"/>
      <c r="D24" s="45"/>
      <c r="E24" s="776"/>
      <c r="F24" s="775"/>
      <c r="G24" s="32" t="s">
        <v>327</v>
      </c>
      <c r="H24" s="32">
        <v>210</v>
      </c>
      <c r="I24" s="32"/>
      <c r="J24" s="32">
        <f t="shared" si="0"/>
        <v>0</v>
      </c>
    </row>
    <row r="25" spans="2:10">
      <c r="B25" s="788"/>
      <c r="C25" s="793"/>
      <c r="D25" s="45"/>
      <c r="E25" s="776"/>
      <c r="F25" s="775"/>
      <c r="G25" s="32" t="s">
        <v>329</v>
      </c>
      <c r="H25" s="32">
        <v>140</v>
      </c>
      <c r="I25" s="32"/>
      <c r="J25" s="32">
        <f t="shared" si="0"/>
        <v>0</v>
      </c>
    </row>
    <row r="26" spans="2:10">
      <c r="B26" s="788"/>
      <c r="C26" s="793"/>
      <c r="D26" s="45"/>
      <c r="E26" s="776"/>
      <c r="F26" s="775">
        <v>2</v>
      </c>
      <c r="G26" s="32" t="s">
        <v>327</v>
      </c>
      <c r="H26" s="32">
        <v>270</v>
      </c>
      <c r="I26" s="32"/>
      <c r="J26" s="32">
        <f t="shared" si="0"/>
        <v>0</v>
      </c>
    </row>
    <row r="27" spans="2:10">
      <c r="B27" s="788"/>
      <c r="C27" s="793"/>
      <c r="D27" s="44"/>
      <c r="E27" s="776"/>
      <c r="F27" s="775"/>
      <c r="G27" s="32" t="s">
        <v>329</v>
      </c>
      <c r="H27" s="32">
        <v>180</v>
      </c>
      <c r="I27" s="32"/>
      <c r="J27" s="32">
        <f t="shared" si="0"/>
        <v>0</v>
      </c>
    </row>
    <row r="28" spans="2:10">
      <c r="B28" s="788"/>
      <c r="C28" s="793"/>
      <c r="D28" s="43"/>
      <c r="E28" s="776" t="s">
        <v>331</v>
      </c>
      <c r="F28" s="775">
        <v>1</v>
      </c>
      <c r="G28" s="32" t="s">
        <v>330</v>
      </c>
      <c r="H28" s="32">
        <v>180</v>
      </c>
      <c r="I28" s="32"/>
      <c r="J28" s="32">
        <f t="shared" si="0"/>
        <v>0</v>
      </c>
    </row>
    <row r="29" spans="2:10">
      <c r="B29" s="788"/>
      <c r="C29" s="793"/>
      <c r="D29" s="45"/>
      <c r="E29" s="776"/>
      <c r="F29" s="775"/>
      <c r="G29" s="32" t="s">
        <v>327</v>
      </c>
      <c r="H29" s="32">
        <v>160</v>
      </c>
      <c r="I29" s="32"/>
      <c r="J29" s="32">
        <f t="shared" si="0"/>
        <v>0</v>
      </c>
    </row>
    <row r="30" spans="2:10">
      <c r="B30" s="788"/>
      <c r="C30" s="793"/>
      <c r="D30" s="45"/>
      <c r="E30" s="776"/>
      <c r="F30" s="775"/>
      <c r="G30" s="32" t="s">
        <v>329</v>
      </c>
      <c r="H30" s="32">
        <v>130</v>
      </c>
      <c r="I30" s="32"/>
      <c r="J30" s="32">
        <f t="shared" si="0"/>
        <v>0</v>
      </c>
    </row>
    <row r="31" spans="2:10">
      <c r="B31" s="788"/>
      <c r="C31" s="793"/>
      <c r="D31" s="45"/>
      <c r="E31" s="776"/>
      <c r="F31" s="775">
        <v>2</v>
      </c>
      <c r="G31" s="32" t="s">
        <v>327</v>
      </c>
      <c r="H31" s="32">
        <v>190</v>
      </c>
      <c r="I31" s="32"/>
      <c r="J31" s="32">
        <f t="shared" si="0"/>
        <v>0</v>
      </c>
    </row>
    <row r="32" spans="2:10">
      <c r="B32" s="789"/>
      <c r="C32" s="794"/>
      <c r="D32" s="44"/>
      <c r="E32" s="776"/>
      <c r="F32" s="775"/>
      <c r="G32" s="32" t="s">
        <v>329</v>
      </c>
      <c r="H32" s="32">
        <v>160</v>
      </c>
      <c r="I32" s="32"/>
      <c r="J32" s="32">
        <f t="shared" si="0"/>
        <v>0</v>
      </c>
    </row>
    <row r="33" spans="2:10">
      <c r="B33" s="787">
        <v>2</v>
      </c>
      <c r="C33" s="776" t="s">
        <v>277</v>
      </c>
      <c r="D33" s="31"/>
      <c r="E33" s="48">
        <v>220</v>
      </c>
      <c r="F33" s="32" t="s">
        <v>326</v>
      </c>
      <c r="G33" s="32" t="s">
        <v>326</v>
      </c>
      <c r="H33" s="32">
        <v>3000</v>
      </c>
      <c r="I33" s="32"/>
      <c r="J33" s="32">
        <f t="shared" si="0"/>
        <v>0</v>
      </c>
    </row>
    <row r="34" spans="2:10">
      <c r="B34" s="789"/>
      <c r="C34" s="776"/>
      <c r="D34" s="31"/>
      <c r="E34" s="48">
        <v>110</v>
      </c>
      <c r="F34" s="32" t="s">
        <v>326</v>
      </c>
      <c r="G34" s="32" t="s">
        <v>326</v>
      </c>
      <c r="H34" s="32">
        <v>2300</v>
      </c>
      <c r="I34" s="32"/>
      <c r="J34" s="32">
        <f t="shared" si="0"/>
        <v>0</v>
      </c>
    </row>
    <row r="35" spans="2:10">
      <c r="B35" s="234"/>
      <c r="C35" s="35"/>
      <c r="D35" s="35"/>
      <c r="E35" s="35" t="s">
        <v>332</v>
      </c>
      <c r="F35" s="46"/>
      <c r="G35" s="46"/>
      <c r="H35" s="46"/>
      <c r="I35" s="32">
        <f>SUM(I15:I34)</f>
        <v>0</v>
      </c>
      <c r="J35" s="32">
        <f>SUM(J15:J34)</f>
        <v>0</v>
      </c>
    </row>
    <row r="36" spans="2:10">
      <c r="B36" s="787">
        <v>3</v>
      </c>
      <c r="C36" s="792" t="s">
        <v>276</v>
      </c>
      <c r="D36" s="43"/>
      <c r="E36" s="776">
        <v>35</v>
      </c>
      <c r="F36" s="775">
        <v>1</v>
      </c>
      <c r="G36" s="32" t="s">
        <v>330</v>
      </c>
      <c r="H36" s="32">
        <v>170</v>
      </c>
      <c r="I36" s="32"/>
      <c r="J36" s="32">
        <f t="shared" ref="J36:J45" si="1">H36*I36/100</f>
        <v>0</v>
      </c>
    </row>
    <row r="37" spans="2:10">
      <c r="B37" s="788"/>
      <c r="C37" s="793"/>
      <c r="D37" s="45"/>
      <c r="E37" s="776"/>
      <c r="F37" s="775"/>
      <c r="G37" s="32" t="s">
        <v>327</v>
      </c>
      <c r="H37" s="32">
        <v>140</v>
      </c>
      <c r="I37" s="32"/>
      <c r="J37" s="32">
        <f t="shared" si="1"/>
        <v>0</v>
      </c>
    </row>
    <row r="38" spans="2:10">
      <c r="B38" s="788"/>
      <c r="C38" s="793"/>
      <c r="D38" s="45"/>
      <c r="E38" s="776"/>
      <c r="F38" s="775"/>
      <c r="G38" s="32" t="s">
        <v>329</v>
      </c>
      <c r="H38" s="32">
        <v>120</v>
      </c>
      <c r="I38" s="32"/>
      <c r="J38" s="32">
        <f t="shared" si="1"/>
        <v>0</v>
      </c>
    </row>
    <row r="39" spans="2:10">
      <c r="B39" s="788"/>
      <c r="C39" s="793"/>
      <c r="D39" s="45"/>
      <c r="E39" s="776"/>
      <c r="F39" s="775">
        <v>2</v>
      </c>
      <c r="G39" s="32" t="s">
        <v>327</v>
      </c>
      <c r="H39" s="32">
        <v>180</v>
      </c>
      <c r="I39" s="32"/>
      <c r="J39" s="32">
        <f t="shared" si="1"/>
        <v>0</v>
      </c>
    </row>
    <row r="40" spans="2:10">
      <c r="B40" s="788"/>
      <c r="C40" s="793"/>
      <c r="D40" s="44"/>
      <c r="E40" s="776"/>
      <c r="F40" s="775"/>
      <c r="G40" s="32" t="s">
        <v>329</v>
      </c>
      <c r="H40" s="32">
        <v>150</v>
      </c>
      <c r="I40" s="32"/>
      <c r="J40" s="32">
        <f t="shared" si="1"/>
        <v>0</v>
      </c>
    </row>
    <row r="41" spans="2:10">
      <c r="B41" s="788"/>
      <c r="C41" s="793"/>
      <c r="D41" s="43"/>
      <c r="E41" s="791" t="s">
        <v>333</v>
      </c>
      <c r="F41" s="775" t="s">
        <v>326</v>
      </c>
      <c r="G41" s="47" t="s">
        <v>330</v>
      </c>
      <c r="H41" s="32">
        <v>160</v>
      </c>
      <c r="I41" s="39"/>
      <c r="J41" s="32">
        <f t="shared" si="1"/>
        <v>0</v>
      </c>
    </row>
    <row r="42" spans="2:10" ht="31.5">
      <c r="B42" s="788"/>
      <c r="C42" s="793"/>
      <c r="D42" s="45"/>
      <c r="E42" s="791"/>
      <c r="F42" s="775"/>
      <c r="G42" s="47" t="s">
        <v>334</v>
      </c>
      <c r="H42" s="39">
        <v>140</v>
      </c>
      <c r="I42" s="32">
        <v>2.367</v>
      </c>
      <c r="J42" s="32">
        <f t="shared" si="1"/>
        <v>3.3138000000000001</v>
      </c>
    </row>
    <row r="43" spans="2:10" ht="31.5">
      <c r="B43" s="789"/>
      <c r="C43" s="794"/>
      <c r="D43" s="44"/>
      <c r="E43" s="791"/>
      <c r="F43" s="775"/>
      <c r="G43" s="47" t="s">
        <v>335</v>
      </c>
      <c r="H43" s="39">
        <v>110</v>
      </c>
      <c r="I43" s="39"/>
      <c r="J43" s="32">
        <f t="shared" si="1"/>
        <v>0</v>
      </c>
    </row>
    <row r="44" spans="2:10">
      <c r="B44" s="787">
        <v>4</v>
      </c>
      <c r="C44" s="776" t="s">
        <v>277</v>
      </c>
      <c r="D44" s="31"/>
      <c r="E44" s="48" t="s">
        <v>336</v>
      </c>
      <c r="F44" s="32" t="s">
        <v>326</v>
      </c>
      <c r="G44" s="32" t="s">
        <v>326</v>
      </c>
      <c r="H44" s="32">
        <v>470</v>
      </c>
      <c r="I44" s="32"/>
      <c r="J44" s="32">
        <f t="shared" si="1"/>
        <v>0</v>
      </c>
    </row>
    <row r="45" spans="2:10">
      <c r="B45" s="789"/>
      <c r="C45" s="776"/>
      <c r="D45" s="31"/>
      <c r="E45" s="235" t="s">
        <v>337</v>
      </c>
      <c r="F45" s="32" t="s">
        <v>326</v>
      </c>
      <c r="G45" s="32" t="s">
        <v>326</v>
      </c>
      <c r="H45" s="32">
        <v>350</v>
      </c>
      <c r="I45" s="32">
        <v>8.6839999999999993</v>
      </c>
      <c r="J45" s="32">
        <f t="shared" si="1"/>
        <v>30.393999999999995</v>
      </c>
    </row>
    <row r="46" spans="2:10">
      <c r="B46" s="234"/>
      <c r="C46" s="35"/>
      <c r="D46" s="35"/>
      <c r="E46" s="35" t="s">
        <v>338</v>
      </c>
      <c r="F46" s="46"/>
      <c r="G46" s="46"/>
      <c r="H46" s="46"/>
      <c r="I46" s="32">
        <f>SUM(I36:I45)</f>
        <v>11.050999999999998</v>
      </c>
      <c r="J46" s="32">
        <f>SUM(J36:J45)</f>
        <v>33.707799999999992</v>
      </c>
    </row>
    <row r="47" spans="2:10">
      <c r="B47" s="787">
        <v>5</v>
      </c>
      <c r="C47" s="792" t="s">
        <v>276</v>
      </c>
      <c r="D47" s="43"/>
      <c r="E47" s="791" t="s">
        <v>339</v>
      </c>
      <c r="F47" s="775" t="s">
        <v>326</v>
      </c>
      <c r="G47" s="47" t="s">
        <v>330</v>
      </c>
      <c r="H47" s="32">
        <v>260</v>
      </c>
      <c r="I47" s="39"/>
      <c r="J47" s="32">
        <f>H47*I47/100</f>
        <v>0</v>
      </c>
    </row>
    <row r="48" spans="2:10" ht="31.5">
      <c r="B48" s="788"/>
      <c r="C48" s="793"/>
      <c r="D48" s="45"/>
      <c r="E48" s="791"/>
      <c r="F48" s="775"/>
      <c r="G48" s="47" t="s">
        <v>334</v>
      </c>
      <c r="H48" s="39">
        <v>220</v>
      </c>
      <c r="I48" s="32"/>
      <c r="J48" s="32">
        <f>H48*I48/100</f>
        <v>0</v>
      </c>
    </row>
    <row r="49" spans="2:10" ht="31.5">
      <c r="B49" s="789"/>
      <c r="C49" s="794"/>
      <c r="D49" s="44"/>
      <c r="E49" s="791"/>
      <c r="F49" s="775"/>
      <c r="G49" s="47" t="s">
        <v>335</v>
      </c>
      <c r="H49" s="39">
        <v>150</v>
      </c>
      <c r="I49" s="39"/>
      <c r="J49" s="32">
        <f>H49*I49/100</f>
        <v>0</v>
      </c>
    </row>
    <row r="50" spans="2:10">
      <c r="B50" s="234">
        <v>6</v>
      </c>
      <c r="C50" s="233" t="s">
        <v>277</v>
      </c>
      <c r="D50" s="31"/>
      <c r="E50" s="236" t="s">
        <v>340</v>
      </c>
      <c r="F50" s="32" t="s">
        <v>326</v>
      </c>
      <c r="G50" s="32"/>
      <c r="H50" s="32">
        <v>270</v>
      </c>
      <c r="I50" s="42">
        <v>10.327999999999999</v>
      </c>
      <c r="J50" s="42">
        <f>H50*I50/100</f>
        <v>27.8856</v>
      </c>
    </row>
    <row r="51" spans="2:10">
      <c r="B51" s="234"/>
      <c r="C51" s="223"/>
      <c r="D51" s="223"/>
      <c r="E51" s="223" t="s">
        <v>341</v>
      </c>
      <c r="F51" s="224"/>
      <c r="G51" s="224"/>
      <c r="H51" s="225"/>
      <c r="I51" s="219">
        <f>SUM(I47:I50)</f>
        <v>10.327999999999999</v>
      </c>
      <c r="J51" s="219">
        <f>SUM(J47:J50)</f>
        <v>27.8856</v>
      </c>
    </row>
    <row r="52" spans="2:10">
      <c r="B52" s="790">
        <v>7</v>
      </c>
      <c r="C52" s="777" t="s">
        <v>579</v>
      </c>
      <c r="D52" s="226"/>
      <c r="E52" s="780" t="s">
        <v>64</v>
      </c>
      <c r="F52" s="780"/>
      <c r="G52" s="781"/>
      <c r="H52" s="227" t="s">
        <v>8</v>
      </c>
      <c r="I52" s="219">
        <f>I35</f>
        <v>0</v>
      </c>
      <c r="J52" s="219">
        <f>J35</f>
        <v>0</v>
      </c>
    </row>
    <row r="53" spans="2:10">
      <c r="B53" s="790"/>
      <c r="C53" s="778"/>
      <c r="D53" s="222"/>
      <c r="E53" s="782"/>
      <c r="F53" s="782"/>
      <c r="G53" s="783"/>
      <c r="H53" s="32" t="s">
        <v>577</v>
      </c>
      <c r="I53" s="219">
        <f>I36+I37+I38+I39+I40</f>
        <v>0</v>
      </c>
      <c r="J53" s="219">
        <f>J36+J37+J38+J39+J40</f>
        <v>0</v>
      </c>
    </row>
    <row r="54" spans="2:10">
      <c r="B54" s="790"/>
      <c r="C54" s="778"/>
      <c r="D54" s="222"/>
      <c r="E54" s="782"/>
      <c r="F54" s="782"/>
      <c r="G54" s="783"/>
      <c r="H54" s="42" t="s">
        <v>578</v>
      </c>
      <c r="I54" s="229">
        <f>I41+I42+I43+I44+I45</f>
        <v>11.050999999999998</v>
      </c>
      <c r="J54" s="229">
        <f>J41+J42+J43+J44+J45</f>
        <v>33.707799999999992</v>
      </c>
    </row>
    <row r="55" spans="2:10">
      <c r="B55" s="790"/>
      <c r="C55" s="778"/>
      <c r="D55" s="218"/>
      <c r="E55" s="784"/>
      <c r="F55" s="784"/>
      <c r="G55" s="784"/>
      <c r="H55" s="230" t="s">
        <v>11</v>
      </c>
      <c r="I55" s="219">
        <f>I51</f>
        <v>10.327999999999999</v>
      </c>
      <c r="J55" s="219">
        <f>J51</f>
        <v>27.8856</v>
      </c>
    </row>
    <row r="56" spans="2:10">
      <c r="B56" s="231">
        <v>8</v>
      </c>
      <c r="C56" s="779"/>
      <c r="D56" s="228"/>
      <c r="E56" s="785" t="s">
        <v>342</v>
      </c>
      <c r="F56" s="785"/>
      <c r="G56" s="785"/>
      <c r="H56" s="785"/>
      <c r="I56" s="232">
        <f>SUM(I52:I55)</f>
        <v>21.378999999999998</v>
      </c>
      <c r="J56" s="219">
        <f>SUM(J52:J55)</f>
        <v>61.593399999999988</v>
      </c>
    </row>
    <row r="57" spans="2:10">
      <c r="G57" s="222"/>
    </row>
    <row r="58" spans="2:10" s="16" customFormat="1" ht="14.1" customHeight="1">
      <c r="C58" s="786" t="s">
        <v>343</v>
      </c>
      <c r="D58" s="786"/>
      <c r="E58" s="786"/>
      <c r="F58" s="786"/>
      <c r="G58" s="786"/>
      <c r="H58" s="786"/>
      <c r="I58" s="786"/>
      <c r="J58" s="786"/>
    </row>
    <row r="59" spans="2:10" s="16" customFormat="1" ht="29.25" customHeight="1">
      <c r="C59" s="786" t="s">
        <v>344</v>
      </c>
      <c r="D59" s="786"/>
      <c r="E59" s="786"/>
      <c r="F59" s="786"/>
      <c r="G59" s="786"/>
      <c r="H59" s="786"/>
      <c r="I59" s="786"/>
      <c r="J59" s="786"/>
    </row>
    <row r="60" spans="2:10" s="16" customFormat="1" ht="14.1" customHeight="1">
      <c r="C60" s="786" t="s">
        <v>345</v>
      </c>
      <c r="D60" s="786"/>
      <c r="E60" s="786"/>
      <c r="F60" s="786"/>
      <c r="G60" s="786"/>
      <c r="H60" s="786"/>
      <c r="I60" s="786"/>
      <c r="J60" s="786"/>
    </row>
    <row r="61" spans="2:10" s="16" customFormat="1" ht="14.1" customHeight="1">
      <c r="C61" s="786" t="s">
        <v>346</v>
      </c>
      <c r="D61" s="786"/>
      <c r="E61" s="786"/>
      <c r="F61" s="786"/>
      <c r="G61" s="786"/>
      <c r="H61" s="786"/>
      <c r="I61" s="786"/>
      <c r="J61" s="786"/>
    </row>
    <row r="62" spans="2:10" s="16" customFormat="1" ht="14.1" customHeight="1">
      <c r="C62" s="786" t="s">
        <v>347</v>
      </c>
      <c r="D62" s="786"/>
      <c r="E62" s="786"/>
      <c r="F62" s="786"/>
      <c r="G62" s="786"/>
      <c r="H62" s="786"/>
      <c r="I62" s="786"/>
      <c r="J62" s="786"/>
    </row>
    <row r="63" spans="2:10" s="16" customFormat="1" ht="29.25" customHeight="1">
      <c r="C63" s="786" t="s">
        <v>348</v>
      </c>
      <c r="D63" s="786"/>
      <c r="E63" s="786"/>
      <c r="F63" s="786"/>
      <c r="G63" s="786"/>
      <c r="H63" s="786"/>
      <c r="I63" s="786"/>
      <c r="J63" s="786"/>
    </row>
    <row r="64" spans="2:10" s="16" customFormat="1" ht="14.1" customHeight="1">
      <c r="C64" s="786" t="s">
        <v>349</v>
      </c>
      <c r="D64" s="786"/>
      <c r="E64" s="786"/>
      <c r="F64" s="786"/>
      <c r="G64" s="786"/>
      <c r="H64" s="786"/>
      <c r="I64" s="786"/>
      <c r="J64" s="786"/>
    </row>
    <row r="65" ht="3" customHeight="1"/>
  </sheetData>
  <sheetProtection selectLockedCells="1" selectUnlockedCells="1"/>
  <mergeCells count="50">
    <mergeCell ref="B12:B13"/>
    <mergeCell ref="C15:C32"/>
    <mergeCell ref="C36:C43"/>
    <mergeCell ref="C47:C49"/>
    <mergeCell ref="B15:B32"/>
    <mergeCell ref="B33:B34"/>
    <mergeCell ref="C33:C34"/>
    <mergeCell ref="C44:C45"/>
    <mergeCell ref="C12:C13"/>
    <mergeCell ref="C64:J64"/>
    <mergeCell ref="C58:J58"/>
    <mergeCell ref="C59:J59"/>
    <mergeCell ref="C60:J60"/>
    <mergeCell ref="C61:J61"/>
    <mergeCell ref="C62:J62"/>
    <mergeCell ref="C52:C56"/>
    <mergeCell ref="E52:G55"/>
    <mergeCell ref="E56:H56"/>
    <mergeCell ref="C63:J63"/>
    <mergeCell ref="B36:B43"/>
    <mergeCell ref="B44:B45"/>
    <mergeCell ref="B47:B49"/>
    <mergeCell ref="B52:B55"/>
    <mergeCell ref="E41:E43"/>
    <mergeCell ref="F41:F43"/>
    <mergeCell ref="E47:E49"/>
    <mergeCell ref="F47:F49"/>
    <mergeCell ref="E36:E40"/>
    <mergeCell ref="F36:F38"/>
    <mergeCell ref="F39:F40"/>
    <mergeCell ref="D12:E13"/>
    <mergeCell ref="F12:F13"/>
    <mergeCell ref="G12:G13"/>
    <mergeCell ref="F31:F32"/>
    <mergeCell ref="D14:E14"/>
    <mergeCell ref="E17:E18"/>
    <mergeCell ref="F17:F18"/>
    <mergeCell ref="E19:E22"/>
    <mergeCell ref="F19:F20"/>
    <mergeCell ref="F21:F22"/>
    <mergeCell ref="E23:E27"/>
    <mergeCell ref="F23:F25"/>
    <mergeCell ref="F26:F27"/>
    <mergeCell ref="E28:E32"/>
    <mergeCell ref="F28:F30"/>
    <mergeCell ref="C5:J5"/>
    <mergeCell ref="C6:J6"/>
    <mergeCell ref="C8:J8"/>
    <mergeCell ref="C9:J9"/>
    <mergeCell ref="C10:J10"/>
  </mergeCells>
  <phoneticPr fontId="23" type="noConversion"/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theme="4"/>
  </sheetPr>
  <dimension ref="A1:N30"/>
  <sheetViews>
    <sheetView topLeftCell="A13" workbookViewId="0">
      <selection activeCell="C30" sqref="C30"/>
    </sheetView>
  </sheetViews>
  <sheetFormatPr defaultRowHeight="15"/>
  <cols>
    <col min="1" max="1" width="4.42578125" style="318" customWidth="1"/>
    <col min="2" max="2" width="0" style="318" hidden="1" customWidth="1"/>
    <col min="3" max="3" width="24.28515625" style="318" customWidth="1"/>
    <col min="4" max="4" width="0" style="318" hidden="1" customWidth="1"/>
    <col min="5" max="5" width="9.42578125" style="318" customWidth="1"/>
    <col min="6" max="6" width="6.5703125" style="318" customWidth="1"/>
    <col min="7" max="7" width="6.7109375" style="318" customWidth="1"/>
    <col min="8" max="8" width="7" style="318" customWidth="1"/>
    <col min="9" max="9" width="7.140625" style="318" customWidth="1"/>
    <col min="10" max="10" width="9.28515625" style="318" customWidth="1"/>
    <col min="11" max="11" width="6.28515625" style="318" customWidth="1"/>
    <col min="12" max="13" width="6.5703125" style="318" customWidth="1"/>
    <col min="14" max="14" width="6" style="318" customWidth="1"/>
    <col min="15" max="16384" width="9.140625" style="318"/>
  </cols>
  <sheetData>
    <row r="1" spans="1:14">
      <c r="N1" s="319" t="s">
        <v>65</v>
      </c>
    </row>
    <row r="3" spans="1:14" ht="16.5">
      <c r="A3" s="691" t="s">
        <v>66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</row>
    <row r="4" spans="1:14">
      <c r="F4" s="318" t="s">
        <v>734</v>
      </c>
    </row>
    <row r="5" spans="1:14" ht="20.25" customHeight="1">
      <c r="N5" s="320" t="s">
        <v>67</v>
      </c>
    </row>
    <row r="6" spans="1:14" ht="14.1" customHeight="1">
      <c r="A6" s="692" t="s">
        <v>3</v>
      </c>
      <c r="B6" s="693" t="s">
        <v>4</v>
      </c>
      <c r="C6" s="693"/>
      <c r="D6" s="693"/>
      <c r="E6" s="672" t="s">
        <v>677</v>
      </c>
      <c r="F6" s="672"/>
      <c r="G6" s="672"/>
      <c r="H6" s="672"/>
      <c r="I6" s="672"/>
      <c r="J6" s="690" t="s">
        <v>735</v>
      </c>
      <c r="K6" s="690"/>
      <c r="L6" s="690"/>
      <c r="M6" s="690"/>
      <c r="N6" s="690"/>
    </row>
    <row r="7" spans="1:14">
      <c r="A7" s="692"/>
      <c r="B7" s="693"/>
      <c r="C7" s="693"/>
      <c r="D7" s="693"/>
      <c r="E7" s="254" t="s">
        <v>12</v>
      </c>
      <c r="F7" s="254" t="s">
        <v>8</v>
      </c>
      <c r="G7" s="254" t="s">
        <v>9</v>
      </c>
      <c r="H7" s="254" t="s">
        <v>10</v>
      </c>
      <c r="I7" s="254" t="s">
        <v>11</v>
      </c>
      <c r="J7" s="254" t="s">
        <v>12</v>
      </c>
      <c r="K7" s="254" t="s">
        <v>8</v>
      </c>
      <c r="L7" s="254" t="s">
        <v>9</v>
      </c>
      <c r="M7" s="254" t="s">
        <v>10</v>
      </c>
      <c r="N7" s="254" t="s">
        <v>11</v>
      </c>
    </row>
    <row r="8" spans="1:14">
      <c r="A8" s="254">
        <v>1</v>
      </c>
      <c r="B8" s="690">
        <v>2</v>
      </c>
      <c r="C8" s="690"/>
      <c r="D8" s="690"/>
      <c r="E8" s="254"/>
      <c r="F8" s="254">
        <v>4</v>
      </c>
      <c r="G8" s="254">
        <v>5</v>
      </c>
      <c r="H8" s="254">
        <v>6</v>
      </c>
      <c r="I8" s="254">
        <v>7</v>
      </c>
      <c r="J8" s="254">
        <v>8</v>
      </c>
      <c r="K8" s="254">
        <v>9</v>
      </c>
      <c r="L8" s="254">
        <v>10</v>
      </c>
      <c r="M8" s="254">
        <v>11</v>
      </c>
      <c r="N8" s="254">
        <v>12</v>
      </c>
    </row>
    <row r="9" spans="1:14" ht="30">
      <c r="A9" s="321">
        <v>1</v>
      </c>
      <c r="B9" s="322"/>
      <c r="C9" s="323" t="s">
        <v>68</v>
      </c>
      <c r="D9" s="324"/>
      <c r="E9" s="325">
        <f>SUM(F9:I9)</f>
        <v>0</v>
      </c>
      <c r="F9" s="326">
        <f>F10+F15+F16+F17</f>
        <v>0</v>
      </c>
      <c r="G9" s="326">
        <f>G10+G15+G16+G17</f>
        <v>0</v>
      </c>
      <c r="H9" s="326">
        <f>H10+H15+H16+H17</f>
        <v>0</v>
      </c>
      <c r="I9" s="326">
        <f>I10+I15+I16+I17</f>
        <v>0</v>
      </c>
      <c r="J9" s="325">
        <f>SUM(K9:N9)</f>
        <v>8.5500000000000007</v>
      </c>
      <c r="K9" s="326">
        <f>K10+K15+K16+K17</f>
        <v>0</v>
      </c>
      <c r="L9" s="326">
        <f>L10+L15+L16+L17</f>
        <v>0</v>
      </c>
      <c r="M9" s="326">
        <f>M10+M15+M16+M17</f>
        <v>8.5500000000000007</v>
      </c>
      <c r="N9" s="326">
        <f>N10+N15+N16+N17</f>
        <v>0</v>
      </c>
    </row>
    <row r="10" spans="1:14">
      <c r="A10" s="327" t="s">
        <v>15</v>
      </c>
      <c r="B10" s="322"/>
      <c r="C10" s="323" t="s">
        <v>69</v>
      </c>
      <c r="D10" s="324"/>
      <c r="E10" s="326">
        <f>SUM(F10:I10)</f>
        <v>0</v>
      </c>
      <c r="F10" s="326">
        <f>SUM(F12:F14)</f>
        <v>0</v>
      </c>
      <c r="G10" s="326">
        <f t="shared" ref="G10:N10" si="0">SUM(G12:G14)</f>
        <v>0</v>
      </c>
      <c r="H10" s="326">
        <f t="shared" si="0"/>
        <v>0</v>
      </c>
      <c r="I10" s="326">
        <f t="shared" si="0"/>
        <v>0</v>
      </c>
      <c r="J10" s="326">
        <f>SUM(K10:N10)</f>
        <v>8.5500000000000007</v>
      </c>
      <c r="K10" s="326">
        <f>SUM(K12:K14)</f>
        <v>0</v>
      </c>
      <c r="L10" s="326">
        <f t="shared" si="0"/>
        <v>0</v>
      </c>
      <c r="M10" s="326">
        <f t="shared" si="0"/>
        <v>8.5500000000000007</v>
      </c>
      <c r="N10" s="326">
        <f t="shared" si="0"/>
        <v>0</v>
      </c>
    </row>
    <row r="11" spans="1:14">
      <c r="A11" s="327"/>
      <c r="B11" s="322"/>
      <c r="C11" s="323" t="s">
        <v>70</v>
      </c>
      <c r="D11" s="324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>
      <c r="A12" s="327"/>
      <c r="B12" s="322"/>
      <c r="C12" s="323" t="s">
        <v>8</v>
      </c>
      <c r="D12" s="324"/>
      <c r="E12" s="326">
        <f>F12</f>
        <v>0</v>
      </c>
      <c r="F12" s="326"/>
      <c r="G12" s="326"/>
      <c r="H12" s="326"/>
      <c r="I12" s="326"/>
      <c r="J12" s="326">
        <f>K12</f>
        <v>0</v>
      </c>
      <c r="K12" s="326"/>
      <c r="L12" s="326"/>
      <c r="M12" s="326"/>
      <c r="N12" s="326"/>
    </row>
    <row r="13" spans="1:14">
      <c r="A13" s="327"/>
      <c r="B13" s="322"/>
      <c r="C13" s="323" t="s">
        <v>9</v>
      </c>
      <c r="D13" s="324"/>
      <c r="E13" s="326">
        <f>G13</f>
        <v>0</v>
      </c>
      <c r="F13" s="326"/>
      <c r="G13" s="326"/>
      <c r="H13" s="326"/>
      <c r="I13" s="326"/>
      <c r="J13" s="326">
        <f>L13</f>
        <v>0</v>
      </c>
      <c r="K13" s="326"/>
      <c r="L13" s="326"/>
      <c r="M13" s="326"/>
      <c r="N13" s="326"/>
    </row>
    <row r="14" spans="1:14">
      <c r="A14" s="327"/>
      <c r="B14" s="322"/>
      <c r="C14" s="323" t="s">
        <v>10</v>
      </c>
      <c r="D14" s="324"/>
      <c r="E14" s="326">
        <f>H14</f>
        <v>0</v>
      </c>
      <c r="F14" s="326"/>
      <c r="G14" s="326"/>
      <c r="H14" s="326"/>
      <c r="I14" s="326"/>
      <c r="J14" s="326">
        <f>M14</f>
        <v>8.5500000000000007</v>
      </c>
      <c r="K14" s="326"/>
      <c r="L14" s="326"/>
      <c r="M14" s="326">
        <v>8.5500000000000007</v>
      </c>
      <c r="N14" s="326"/>
    </row>
    <row r="15" spans="1:14" ht="30">
      <c r="A15" s="327" t="s">
        <v>22</v>
      </c>
      <c r="B15" s="322"/>
      <c r="C15" s="323" t="s">
        <v>71</v>
      </c>
      <c r="D15" s="324"/>
      <c r="E15" s="326">
        <f>SUM(F15:I15)</f>
        <v>0</v>
      </c>
      <c r="F15" s="326"/>
      <c r="G15" s="326"/>
      <c r="H15" s="326"/>
      <c r="I15" s="326"/>
      <c r="J15" s="326">
        <f>SUM(K15:N15)</f>
        <v>0</v>
      </c>
      <c r="K15" s="326"/>
      <c r="L15" s="326"/>
      <c r="M15" s="326"/>
      <c r="N15" s="326"/>
    </row>
    <row r="16" spans="1:14" ht="45">
      <c r="A16" s="321" t="s">
        <v>29</v>
      </c>
      <c r="B16" s="322"/>
      <c r="C16" s="323" t="s">
        <v>72</v>
      </c>
      <c r="D16" s="324"/>
      <c r="E16" s="326">
        <f>SUM(F16:I16)</f>
        <v>0</v>
      </c>
      <c r="F16" s="326"/>
      <c r="G16" s="326"/>
      <c r="H16" s="326"/>
      <c r="I16" s="326"/>
      <c r="J16" s="326">
        <f>SUM(K16:N16)</f>
        <v>0</v>
      </c>
      <c r="K16" s="326"/>
      <c r="L16" s="326"/>
      <c r="M16" s="326"/>
      <c r="N16" s="326"/>
    </row>
    <row r="17" spans="1:14" ht="30">
      <c r="A17" s="321" t="s">
        <v>31</v>
      </c>
      <c r="B17" s="322"/>
      <c r="C17" s="323" t="s">
        <v>73</v>
      </c>
      <c r="D17" s="324"/>
      <c r="E17" s="326">
        <f>SUM(F17:I17)</f>
        <v>0</v>
      </c>
      <c r="F17" s="326"/>
      <c r="G17" s="326"/>
      <c r="H17" s="326"/>
      <c r="I17" s="326"/>
      <c r="J17" s="326">
        <f>SUM(K17:N17)</f>
        <v>0</v>
      </c>
      <c r="K17" s="326"/>
      <c r="L17" s="326"/>
      <c r="M17" s="326"/>
      <c r="N17" s="326"/>
    </row>
    <row r="18" spans="1:14" ht="30">
      <c r="A18" s="327" t="s">
        <v>59</v>
      </c>
      <c r="B18" s="322"/>
      <c r="C18" s="323" t="s">
        <v>74</v>
      </c>
      <c r="D18" s="324"/>
      <c r="E18" s="325">
        <f>SUM(F18:I18)</f>
        <v>0</v>
      </c>
      <c r="F18" s="326">
        <f>П1.3!G47</f>
        <v>0</v>
      </c>
      <c r="G18" s="326">
        <f>П1.3!H47</f>
        <v>0</v>
      </c>
      <c r="H18" s="326">
        <f>П1.3!I47</f>
        <v>0</v>
      </c>
      <c r="I18" s="326">
        <f>П1.3!J47</f>
        <v>0</v>
      </c>
      <c r="J18" s="325">
        <f>SUM(K18:N18)</f>
        <v>0.52300000000000002</v>
      </c>
      <c r="K18" s="326">
        <f>П1.3!L47</f>
        <v>0</v>
      </c>
      <c r="L18" s="326">
        <f>П1.3!M47</f>
        <v>0</v>
      </c>
      <c r="M18" s="326">
        <f>П1.3!N47</f>
        <v>0.52300000000000002</v>
      </c>
      <c r="N18" s="326">
        <f>П1.3!O47</f>
        <v>0</v>
      </c>
    </row>
    <row r="19" spans="1:14">
      <c r="A19" s="327"/>
      <c r="B19" s="322"/>
      <c r="C19" s="323" t="s">
        <v>75</v>
      </c>
      <c r="D19" s="324"/>
      <c r="E19" s="328" t="e">
        <f t="shared" ref="E19:N19" si="1">(E18/E9)*100</f>
        <v>#DIV/0!</v>
      </c>
      <c r="F19" s="328" t="e">
        <f t="shared" si="1"/>
        <v>#DIV/0!</v>
      </c>
      <c r="G19" s="328" t="e">
        <f t="shared" si="1"/>
        <v>#DIV/0!</v>
      </c>
      <c r="H19" s="328" t="e">
        <f t="shared" si="1"/>
        <v>#DIV/0!</v>
      </c>
      <c r="I19" s="328" t="e">
        <f t="shared" si="1"/>
        <v>#DIV/0!</v>
      </c>
      <c r="J19" s="328">
        <f>(J18/J9)</f>
        <v>6.1169590643274853E-2</v>
      </c>
      <c r="K19" s="328" t="e">
        <f t="shared" si="1"/>
        <v>#DIV/0!</v>
      </c>
      <c r="L19" s="328" t="e">
        <f t="shared" si="1"/>
        <v>#DIV/0!</v>
      </c>
      <c r="M19" s="328">
        <f>(M18/M9)</f>
        <v>6.1169590643274853E-2</v>
      </c>
      <c r="N19" s="328" t="e">
        <f t="shared" si="1"/>
        <v>#DIV/0!</v>
      </c>
    </row>
    <row r="20" spans="1:14" ht="45">
      <c r="A20" s="321" t="s">
        <v>61</v>
      </c>
      <c r="B20" s="322"/>
      <c r="C20" s="323" t="s">
        <v>76</v>
      </c>
      <c r="D20" s="324"/>
      <c r="E20" s="329">
        <f>SUM(F20:I20)</f>
        <v>0</v>
      </c>
      <c r="F20" s="326"/>
      <c r="G20" s="326"/>
      <c r="H20" s="326"/>
      <c r="I20" s="326"/>
      <c r="J20" s="329">
        <f>SUM(K20:N20)</f>
        <v>2.4E-2</v>
      </c>
      <c r="K20" s="326"/>
      <c r="L20" s="326"/>
      <c r="M20" s="326">
        <v>2.4E-2</v>
      </c>
      <c r="N20" s="326"/>
    </row>
    <row r="21" spans="1:14">
      <c r="A21" s="327" t="s">
        <v>63</v>
      </c>
      <c r="B21" s="322"/>
      <c r="C21" s="330" t="s">
        <v>77</v>
      </c>
      <c r="D21" s="331"/>
      <c r="E21" s="329">
        <f>SUM(F21:I21)</f>
        <v>0</v>
      </c>
      <c r="F21" s="332">
        <f>F23+F24</f>
        <v>0</v>
      </c>
      <c r="G21" s="332">
        <f>G23+G24</f>
        <v>0</v>
      </c>
      <c r="H21" s="332">
        <f>H23+H24</f>
        <v>0</v>
      </c>
      <c r="I21" s="332">
        <f>I23+I24</f>
        <v>0</v>
      </c>
      <c r="J21" s="329">
        <f>SUM(K21:N21)</f>
        <v>8.0030000000000019</v>
      </c>
      <c r="K21" s="332">
        <f>K23+K24</f>
        <v>0</v>
      </c>
      <c r="L21" s="332">
        <f>L23+L24</f>
        <v>0</v>
      </c>
      <c r="M21" s="332">
        <f>M23+M24</f>
        <v>8.0030000000000019</v>
      </c>
      <c r="N21" s="332">
        <f>N23+N24</f>
        <v>0</v>
      </c>
    </row>
    <row r="22" spans="1:14" ht="15" customHeight="1">
      <c r="A22" s="333"/>
      <c r="B22" s="334"/>
      <c r="C22" s="335" t="s">
        <v>78</v>
      </c>
      <c r="D22" s="335"/>
      <c r="E22" s="335"/>
      <c r="F22" s="335"/>
      <c r="G22" s="335"/>
      <c r="H22" s="335"/>
      <c r="I22" s="335"/>
      <c r="J22" s="329"/>
      <c r="K22" s="329"/>
      <c r="L22" s="329"/>
      <c r="M22" s="329"/>
      <c r="N22" s="329"/>
    </row>
    <row r="23" spans="1:14" ht="28.5" customHeight="1">
      <c r="A23" s="336" t="s">
        <v>644</v>
      </c>
      <c r="B23" s="337"/>
      <c r="C23" s="338" t="s">
        <v>652</v>
      </c>
      <c r="D23" s="335"/>
      <c r="E23" s="332">
        <f>SUM(F23:I23)</f>
        <v>0</v>
      </c>
      <c r="F23" s="335"/>
      <c r="G23" s="335"/>
      <c r="H23" s="335"/>
      <c r="I23" s="335"/>
      <c r="J23" s="332">
        <f>SUM(K23:N23)</f>
        <v>0</v>
      </c>
      <c r="K23" s="329"/>
      <c r="L23" s="329"/>
      <c r="M23" s="329"/>
      <c r="N23" s="329"/>
    </row>
    <row r="24" spans="1:14" ht="27.75" customHeight="1">
      <c r="A24" s="336" t="s">
        <v>80</v>
      </c>
      <c r="B24" s="339"/>
      <c r="C24" s="338" t="s">
        <v>651</v>
      </c>
      <c r="D24" s="335"/>
      <c r="E24" s="332">
        <f>SUM(F24:I24)</f>
        <v>0</v>
      </c>
      <c r="F24" s="340">
        <f>F26+F27+F28</f>
        <v>0</v>
      </c>
      <c r="G24" s="340">
        <f>G26+G27+G28</f>
        <v>0</v>
      </c>
      <c r="H24" s="340">
        <f>H26+H27+H28</f>
        <v>0</v>
      </c>
      <c r="I24" s="340">
        <f>I26+I27+I28</f>
        <v>0</v>
      </c>
      <c r="J24" s="332">
        <f>SUM(K24:N24)</f>
        <v>8.0030000000000019</v>
      </c>
      <c r="K24" s="332">
        <f>K26+K27+K28</f>
        <v>0</v>
      </c>
      <c r="L24" s="332">
        <f>L26+L27+L28</f>
        <v>0</v>
      </c>
      <c r="M24" s="332">
        <f>M26+M27+M28</f>
        <v>8.0030000000000019</v>
      </c>
      <c r="N24" s="332">
        <f>N26+N27+N28</f>
        <v>0</v>
      </c>
    </row>
    <row r="25" spans="1:14">
      <c r="A25" s="341"/>
      <c r="B25" s="322"/>
      <c r="C25" s="342" t="s">
        <v>79</v>
      </c>
      <c r="D25" s="343"/>
      <c r="E25" s="326"/>
      <c r="F25" s="344"/>
      <c r="G25" s="344"/>
      <c r="H25" s="344"/>
      <c r="I25" s="344"/>
      <c r="J25" s="332"/>
      <c r="K25" s="329"/>
      <c r="L25" s="329"/>
      <c r="M25" s="329"/>
      <c r="N25" s="329"/>
    </row>
    <row r="26" spans="1:14" ht="45">
      <c r="A26" s="327" t="s">
        <v>302</v>
      </c>
      <c r="B26" s="322"/>
      <c r="C26" s="345" t="s">
        <v>581</v>
      </c>
      <c r="D26" s="324"/>
      <c r="E26" s="326">
        <f>SUM(F26:I26)</f>
        <v>0</v>
      </c>
      <c r="F26" s="326"/>
      <c r="G26" s="326"/>
      <c r="H26" s="326"/>
      <c r="I26" s="326"/>
      <c r="J26" s="326">
        <f>SUM(K26:N26)</f>
        <v>0</v>
      </c>
      <c r="K26" s="326"/>
      <c r="L26" s="326"/>
      <c r="M26" s="326"/>
      <c r="N26" s="326"/>
    </row>
    <row r="27" spans="1:14">
      <c r="A27" s="321" t="s">
        <v>303</v>
      </c>
      <c r="B27" s="322"/>
      <c r="C27" s="323" t="s">
        <v>645</v>
      </c>
      <c r="D27" s="324"/>
      <c r="E27" s="326">
        <f>SUM(F27:I27)</f>
        <v>0</v>
      </c>
      <c r="F27" s="326"/>
      <c r="G27" s="326"/>
      <c r="H27" s="326"/>
      <c r="I27" s="326"/>
      <c r="J27" s="326">
        <f>SUM(K27:N27)</f>
        <v>8.0030000000000019</v>
      </c>
      <c r="K27" s="326"/>
      <c r="L27" s="326"/>
      <c r="M27" s="326">
        <f>M9-M18-M20</f>
        <v>8.0030000000000019</v>
      </c>
      <c r="N27" s="326"/>
    </row>
    <row r="28" spans="1:14">
      <c r="A28" s="321" t="s">
        <v>646</v>
      </c>
      <c r="B28" s="322"/>
      <c r="C28" s="323" t="s">
        <v>647</v>
      </c>
      <c r="D28" s="324"/>
      <c r="E28" s="326">
        <f>SUM(F28:I28)</f>
        <v>0</v>
      </c>
      <c r="F28" s="326"/>
      <c r="G28" s="326"/>
      <c r="H28" s="326"/>
      <c r="I28" s="326"/>
      <c r="J28" s="326">
        <f>SUM(K28:N28)</f>
        <v>0</v>
      </c>
      <c r="K28" s="326"/>
      <c r="L28" s="326"/>
      <c r="M28" s="326"/>
      <c r="N28" s="326"/>
    </row>
    <row r="30" spans="1:14">
      <c r="C30" s="318" t="s">
        <v>804</v>
      </c>
    </row>
  </sheetData>
  <sheetProtection selectLockedCells="1" selectUnlockedCells="1"/>
  <mergeCells count="6">
    <mergeCell ref="B8:D8"/>
    <mergeCell ref="A3:N3"/>
    <mergeCell ref="A6:A7"/>
    <mergeCell ref="B6:D7"/>
    <mergeCell ref="E6:I6"/>
    <mergeCell ref="J6:N6"/>
  </mergeCells>
  <phoneticPr fontId="23" type="noConversion"/>
  <dataValidations count="1">
    <dataValidation type="decimal" allowBlank="1" showInputMessage="1" showErrorMessage="1" error="Ввведеное значение неверно" sqref="H28 M28 H26:I26 M26:N26 L13:N14 G13:I14">
      <formula1>-1000000000000000</formula1>
      <formula2>1000000000000000</formula2>
    </dataValidation>
  </dataValidations>
  <pageMargins left="0.19652777777777777" right="0" top="0" bottom="0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/>
  </sheetPr>
  <dimension ref="B1:H67"/>
  <sheetViews>
    <sheetView workbookViewId="0">
      <selection activeCell="G42" sqref="G42"/>
    </sheetView>
  </sheetViews>
  <sheetFormatPr defaultRowHeight="15.75"/>
  <cols>
    <col min="1" max="1" width="9.140625" style="27"/>
    <col min="2" max="2" width="4.7109375" style="27" customWidth="1"/>
    <col min="3" max="3" width="24.42578125" style="27" customWidth="1"/>
    <col min="4" max="4" width="14" style="27" customWidth="1"/>
    <col min="5" max="5" width="10.5703125" style="27" customWidth="1"/>
    <col min="6" max="6" width="12.85546875" style="27" customWidth="1"/>
    <col min="7" max="7" width="12.5703125" style="27" customWidth="1"/>
    <col min="8" max="8" width="12.28515625" style="27" customWidth="1"/>
    <col min="9" max="16384" width="9.140625" style="27"/>
  </cols>
  <sheetData>
    <row r="1" spans="2:8">
      <c r="H1" s="28" t="s">
        <v>350</v>
      </c>
    </row>
    <row r="2" spans="2:8">
      <c r="D2" s="27" t="s">
        <v>734</v>
      </c>
    </row>
    <row r="3" spans="2:8" ht="16.5">
      <c r="B3" s="769" t="s">
        <v>351</v>
      </c>
      <c r="C3" s="769"/>
      <c r="D3" s="769"/>
      <c r="E3" s="769"/>
      <c r="F3" s="769"/>
      <c r="G3" s="769"/>
      <c r="H3" s="769"/>
    </row>
    <row r="4" spans="2:8" ht="16.5">
      <c r="B4" s="769" t="s">
        <v>352</v>
      </c>
      <c r="C4" s="769"/>
      <c r="D4" s="769"/>
      <c r="E4" s="769"/>
      <c r="F4" s="769"/>
      <c r="G4" s="769"/>
      <c r="H4" s="769"/>
    </row>
    <row r="5" spans="2:8" ht="16.5">
      <c r="B5" s="769" t="s">
        <v>353</v>
      </c>
      <c r="C5" s="769"/>
      <c r="D5" s="769"/>
      <c r="E5" s="769"/>
      <c r="F5" s="769"/>
      <c r="G5" s="769"/>
      <c r="H5" s="769"/>
    </row>
    <row r="7" spans="2:8" ht="79.5" customHeight="1">
      <c r="B7" s="796" t="s">
        <v>3</v>
      </c>
      <c r="C7" s="770" t="s">
        <v>280</v>
      </c>
      <c r="D7" s="770" t="s">
        <v>354</v>
      </c>
      <c r="E7" s="770" t="s">
        <v>355</v>
      </c>
      <c r="F7" s="30" t="s">
        <v>356</v>
      </c>
      <c r="G7" s="30" t="s">
        <v>357</v>
      </c>
      <c r="H7" s="30" t="s">
        <v>323</v>
      </c>
    </row>
    <row r="8" spans="2:8">
      <c r="B8" s="797"/>
      <c r="C8" s="770"/>
      <c r="D8" s="770"/>
      <c r="E8" s="770"/>
      <c r="F8" s="32" t="s">
        <v>358</v>
      </c>
      <c r="G8" s="32" t="s">
        <v>359</v>
      </c>
      <c r="H8" s="32" t="s">
        <v>325</v>
      </c>
    </row>
    <row r="9" spans="2:8"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 t="s">
        <v>360</v>
      </c>
    </row>
    <row r="10" spans="2:8" ht="15.2" customHeight="1">
      <c r="B10" s="798">
        <v>1</v>
      </c>
      <c r="C10" s="801" t="s">
        <v>361</v>
      </c>
      <c r="D10" s="801" t="s">
        <v>362</v>
      </c>
      <c r="E10" s="32">
        <v>1150</v>
      </c>
      <c r="F10" s="32">
        <v>1000</v>
      </c>
      <c r="G10" s="32"/>
      <c r="H10" s="32">
        <f t="shared" ref="H10:H50" si="0">F10*G10</f>
        <v>0</v>
      </c>
    </row>
    <row r="11" spans="2:8">
      <c r="B11" s="799"/>
      <c r="C11" s="801"/>
      <c r="D11" s="801"/>
      <c r="E11" s="32">
        <v>750</v>
      </c>
      <c r="F11" s="32">
        <v>600</v>
      </c>
      <c r="G11" s="32"/>
      <c r="H11" s="32">
        <f t="shared" si="0"/>
        <v>0</v>
      </c>
    </row>
    <row r="12" spans="2:8">
      <c r="B12" s="799"/>
      <c r="C12" s="801"/>
      <c r="D12" s="801"/>
      <c r="E12" s="32" t="s">
        <v>328</v>
      </c>
      <c r="F12" s="32">
        <v>500</v>
      </c>
      <c r="G12" s="32"/>
      <c r="H12" s="32">
        <f t="shared" si="0"/>
        <v>0</v>
      </c>
    </row>
    <row r="13" spans="2:8">
      <c r="B13" s="799"/>
      <c r="C13" s="801"/>
      <c r="D13" s="801"/>
      <c r="E13" s="32">
        <v>330</v>
      </c>
      <c r="F13" s="32">
        <v>250</v>
      </c>
      <c r="G13" s="32"/>
      <c r="H13" s="32">
        <f t="shared" si="0"/>
        <v>0</v>
      </c>
    </row>
    <row r="14" spans="2:8">
      <c r="B14" s="799"/>
      <c r="C14" s="801"/>
      <c r="D14" s="801"/>
      <c r="E14" s="32">
        <v>220</v>
      </c>
      <c r="F14" s="32">
        <v>210</v>
      </c>
      <c r="G14" s="32"/>
      <c r="H14" s="32">
        <f t="shared" si="0"/>
        <v>0</v>
      </c>
    </row>
    <row r="15" spans="2:8">
      <c r="B15" s="799"/>
      <c r="C15" s="801"/>
      <c r="D15" s="801"/>
      <c r="E15" s="32" t="s">
        <v>331</v>
      </c>
      <c r="F15" s="32">
        <v>105</v>
      </c>
      <c r="G15" s="32"/>
      <c r="H15" s="32">
        <f t="shared" si="0"/>
        <v>0</v>
      </c>
    </row>
    <row r="16" spans="2:8">
      <c r="B16" s="800"/>
      <c r="C16" s="801"/>
      <c r="D16" s="801"/>
      <c r="E16" s="32">
        <v>35</v>
      </c>
      <c r="F16" s="32">
        <v>75</v>
      </c>
      <c r="G16" s="32"/>
      <c r="H16" s="32">
        <f t="shared" si="0"/>
        <v>0</v>
      </c>
    </row>
    <row r="17" spans="2:8" ht="15.2" customHeight="1">
      <c r="B17" s="798">
        <v>2</v>
      </c>
      <c r="C17" s="801" t="s">
        <v>363</v>
      </c>
      <c r="D17" s="801" t="s">
        <v>364</v>
      </c>
      <c r="E17" s="32">
        <v>1150</v>
      </c>
      <c r="F17" s="32">
        <v>60</v>
      </c>
      <c r="G17" s="32"/>
      <c r="H17" s="32">
        <f t="shared" si="0"/>
        <v>0</v>
      </c>
    </row>
    <row r="18" spans="2:8">
      <c r="B18" s="799"/>
      <c r="C18" s="801"/>
      <c r="D18" s="801"/>
      <c r="E18" s="32">
        <v>750</v>
      </c>
      <c r="F18" s="32">
        <v>43</v>
      </c>
      <c r="G18" s="32"/>
      <c r="H18" s="32">
        <f t="shared" si="0"/>
        <v>0</v>
      </c>
    </row>
    <row r="19" spans="2:8">
      <c r="B19" s="799"/>
      <c r="C19" s="801"/>
      <c r="D19" s="801"/>
      <c r="E19" s="32" t="s">
        <v>328</v>
      </c>
      <c r="F19" s="32">
        <v>28</v>
      </c>
      <c r="G19" s="32"/>
      <c r="H19" s="32">
        <f t="shared" si="0"/>
        <v>0</v>
      </c>
    </row>
    <row r="20" spans="2:8">
      <c r="B20" s="799"/>
      <c r="C20" s="801"/>
      <c r="D20" s="801"/>
      <c r="E20" s="32">
        <v>330</v>
      </c>
      <c r="F20" s="32">
        <v>18</v>
      </c>
      <c r="G20" s="32"/>
      <c r="H20" s="32">
        <f t="shared" si="0"/>
        <v>0</v>
      </c>
    </row>
    <row r="21" spans="2:8">
      <c r="B21" s="799"/>
      <c r="C21" s="801"/>
      <c r="D21" s="801"/>
      <c r="E21" s="32">
        <v>220</v>
      </c>
      <c r="F21" s="32">
        <v>14</v>
      </c>
      <c r="G21" s="32"/>
      <c r="H21" s="32">
        <f t="shared" si="0"/>
        <v>0</v>
      </c>
    </row>
    <row r="22" spans="2:8">
      <c r="B22" s="799"/>
      <c r="C22" s="801"/>
      <c r="D22" s="801"/>
      <c r="E22" s="32" t="s">
        <v>331</v>
      </c>
      <c r="F22" s="50">
        <v>7.8</v>
      </c>
      <c r="G22" s="32"/>
      <c r="H22" s="32">
        <f t="shared" si="0"/>
        <v>0</v>
      </c>
    </row>
    <row r="23" spans="2:8">
      <c r="B23" s="799"/>
      <c r="C23" s="801"/>
      <c r="D23" s="801"/>
      <c r="E23" s="32">
        <v>35</v>
      </c>
      <c r="F23" s="32">
        <v>2.1</v>
      </c>
      <c r="G23" s="32"/>
      <c r="H23" s="32">
        <f t="shared" si="0"/>
        <v>0</v>
      </c>
    </row>
    <row r="24" spans="2:8">
      <c r="B24" s="800"/>
      <c r="C24" s="801"/>
      <c r="D24" s="801"/>
      <c r="E24" s="33" t="s">
        <v>333</v>
      </c>
      <c r="F24" s="51">
        <v>1</v>
      </c>
      <c r="G24" s="32"/>
      <c r="H24" s="32">
        <f t="shared" si="0"/>
        <v>0</v>
      </c>
    </row>
    <row r="25" spans="2:8" ht="15.2" customHeight="1">
      <c r="B25" s="798">
        <v>3</v>
      </c>
      <c r="C25" s="801" t="s">
        <v>365</v>
      </c>
      <c r="D25" s="801" t="s">
        <v>366</v>
      </c>
      <c r="E25" s="32">
        <v>1150</v>
      </c>
      <c r="F25" s="32">
        <v>180</v>
      </c>
      <c r="G25" s="32"/>
      <c r="H25" s="32">
        <f t="shared" si="0"/>
        <v>0</v>
      </c>
    </row>
    <row r="26" spans="2:8">
      <c r="B26" s="799"/>
      <c r="C26" s="801"/>
      <c r="D26" s="801"/>
      <c r="E26" s="32">
        <v>750</v>
      </c>
      <c r="F26" s="32">
        <v>130</v>
      </c>
      <c r="G26" s="32"/>
      <c r="H26" s="32">
        <f t="shared" si="0"/>
        <v>0</v>
      </c>
    </row>
    <row r="27" spans="2:8">
      <c r="B27" s="799"/>
      <c r="C27" s="801"/>
      <c r="D27" s="801"/>
      <c r="E27" s="32" t="s">
        <v>328</v>
      </c>
      <c r="F27" s="32">
        <v>88</v>
      </c>
      <c r="G27" s="32"/>
      <c r="H27" s="32">
        <f t="shared" si="0"/>
        <v>0</v>
      </c>
    </row>
    <row r="28" spans="2:8">
      <c r="B28" s="799"/>
      <c r="C28" s="801"/>
      <c r="D28" s="801"/>
      <c r="E28" s="32">
        <v>330</v>
      </c>
      <c r="F28" s="32">
        <v>66</v>
      </c>
      <c r="G28" s="32"/>
      <c r="H28" s="32">
        <f t="shared" si="0"/>
        <v>0</v>
      </c>
    </row>
    <row r="29" spans="2:8">
      <c r="B29" s="799"/>
      <c r="C29" s="801"/>
      <c r="D29" s="801"/>
      <c r="E29" s="32">
        <v>220</v>
      </c>
      <c r="F29" s="32">
        <v>43</v>
      </c>
      <c r="G29" s="32"/>
      <c r="H29" s="32">
        <f t="shared" si="0"/>
        <v>0</v>
      </c>
    </row>
    <row r="30" spans="2:8">
      <c r="B30" s="799"/>
      <c r="C30" s="801"/>
      <c r="D30" s="801"/>
      <c r="E30" s="32" t="s">
        <v>331</v>
      </c>
      <c r="F30" s="50">
        <v>26</v>
      </c>
      <c r="G30" s="32"/>
      <c r="H30" s="32">
        <f t="shared" si="0"/>
        <v>0</v>
      </c>
    </row>
    <row r="31" spans="2:8">
      <c r="B31" s="799"/>
      <c r="C31" s="801"/>
      <c r="D31" s="801"/>
      <c r="E31" s="32">
        <v>35</v>
      </c>
      <c r="F31" s="32">
        <v>11</v>
      </c>
      <c r="G31" s="32"/>
      <c r="H31" s="32">
        <f t="shared" si="0"/>
        <v>0</v>
      </c>
    </row>
    <row r="32" spans="2:8">
      <c r="B32" s="800"/>
      <c r="C32" s="801"/>
      <c r="D32" s="801"/>
      <c r="E32" s="33" t="s">
        <v>333</v>
      </c>
      <c r="F32" s="50">
        <v>5.5</v>
      </c>
      <c r="G32" s="32"/>
      <c r="H32" s="32">
        <f t="shared" si="0"/>
        <v>0</v>
      </c>
    </row>
    <row r="33" spans="2:8" ht="15.2" customHeight="1">
      <c r="B33" s="798">
        <v>4</v>
      </c>
      <c r="C33" s="801" t="s">
        <v>367</v>
      </c>
      <c r="D33" s="802" t="s">
        <v>368</v>
      </c>
      <c r="E33" s="32">
        <v>220</v>
      </c>
      <c r="F33" s="32">
        <v>23</v>
      </c>
      <c r="G33" s="32"/>
      <c r="H33" s="32">
        <f t="shared" si="0"/>
        <v>0</v>
      </c>
    </row>
    <row r="34" spans="2:8">
      <c r="B34" s="799"/>
      <c r="C34" s="801"/>
      <c r="D34" s="802"/>
      <c r="E34" s="32" t="s">
        <v>331</v>
      </c>
      <c r="F34" s="32">
        <v>14</v>
      </c>
      <c r="G34" s="32"/>
      <c r="H34" s="32">
        <f t="shared" si="0"/>
        <v>0</v>
      </c>
    </row>
    <row r="35" spans="2:8">
      <c r="B35" s="799"/>
      <c r="C35" s="801"/>
      <c r="D35" s="802"/>
      <c r="E35" s="32">
        <v>35</v>
      </c>
      <c r="F35" s="32">
        <v>6.4</v>
      </c>
      <c r="G35" s="32"/>
      <c r="H35" s="32">
        <f t="shared" si="0"/>
        <v>0</v>
      </c>
    </row>
    <row r="36" spans="2:8">
      <c r="B36" s="800"/>
      <c r="C36" s="801"/>
      <c r="D36" s="802"/>
      <c r="E36" s="33" t="s">
        <v>333</v>
      </c>
      <c r="F36" s="50">
        <v>3.1</v>
      </c>
      <c r="G36" s="32"/>
      <c r="H36" s="32">
        <f t="shared" si="0"/>
        <v>0</v>
      </c>
    </row>
    <row r="37" spans="2:8" ht="15.2" customHeight="1">
      <c r="B37" s="798">
        <v>5</v>
      </c>
      <c r="C37" s="801" t="s">
        <v>369</v>
      </c>
      <c r="D37" s="805" t="s">
        <v>364</v>
      </c>
      <c r="E37" s="32" t="s">
        <v>328</v>
      </c>
      <c r="F37" s="32">
        <v>35</v>
      </c>
      <c r="G37" s="32"/>
      <c r="H37" s="32">
        <f t="shared" si="0"/>
        <v>0</v>
      </c>
    </row>
    <row r="38" spans="2:8">
      <c r="B38" s="799"/>
      <c r="C38" s="801"/>
      <c r="D38" s="805"/>
      <c r="E38" s="32">
        <v>330</v>
      </c>
      <c r="F38" s="32">
        <v>24</v>
      </c>
      <c r="G38" s="32"/>
      <c r="H38" s="32">
        <f t="shared" si="0"/>
        <v>0</v>
      </c>
    </row>
    <row r="39" spans="2:8">
      <c r="B39" s="799"/>
      <c r="C39" s="801"/>
      <c r="D39" s="805"/>
      <c r="E39" s="32">
        <v>220</v>
      </c>
      <c r="F39" s="32">
        <v>19</v>
      </c>
      <c r="G39" s="32"/>
      <c r="H39" s="32">
        <f t="shared" si="0"/>
        <v>0</v>
      </c>
    </row>
    <row r="40" spans="2:8">
      <c r="B40" s="799"/>
      <c r="C40" s="801"/>
      <c r="D40" s="805"/>
      <c r="E40" s="32" t="s">
        <v>331</v>
      </c>
      <c r="F40" s="32">
        <v>9.5</v>
      </c>
      <c r="G40" s="32"/>
      <c r="H40" s="32">
        <f t="shared" si="0"/>
        <v>0</v>
      </c>
    </row>
    <row r="41" spans="2:8">
      <c r="B41" s="800"/>
      <c r="C41" s="801"/>
      <c r="D41" s="805"/>
      <c r="E41" s="33" t="s">
        <v>370</v>
      </c>
      <c r="F41" s="50">
        <v>4.7</v>
      </c>
      <c r="G41" s="32"/>
      <c r="H41" s="32">
        <f t="shared" si="0"/>
        <v>0</v>
      </c>
    </row>
    <row r="42" spans="2:8" ht="15.75" customHeight="1">
      <c r="B42" s="32">
        <v>6</v>
      </c>
      <c r="C42" s="47" t="s">
        <v>371</v>
      </c>
      <c r="D42" s="53" t="s">
        <v>368</v>
      </c>
      <c r="E42" s="33" t="s">
        <v>333</v>
      </c>
      <c r="F42" s="32">
        <v>2.2999999999999998</v>
      </c>
      <c r="G42" s="32">
        <v>150</v>
      </c>
      <c r="H42" s="32">
        <f t="shared" si="0"/>
        <v>345</v>
      </c>
    </row>
    <row r="43" spans="2:8" ht="47.25">
      <c r="B43" s="39">
        <v>7</v>
      </c>
      <c r="C43" s="47" t="s">
        <v>372</v>
      </c>
      <c r="D43" s="52" t="s">
        <v>368</v>
      </c>
      <c r="E43" s="54" t="s">
        <v>333</v>
      </c>
      <c r="F43" s="39">
        <v>26</v>
      </c>
      <c r="G43" s="39"/>
      <c r="H43" s="32">
        <f t="shared" si="0"/>
        <v>0</v>
      </c>
    </row>
    <row r="44" spans="2:8" ht="30.75" customHeight="1">
      <c r="B44" s="39">
        <v>8</v>
      </c>
      <c r="C44" s="49" t="s">
        <v>373</v>
      </c>
      <c r="D44" s="52" t="s">
        <v>364</v>
      </c>
      <c r="E44" s="54" t="s">
        <v>333</v>
      </c>
      <c r="F44" s="39">
        <v>48</v>
      </c>
      <c r="G44" s="39"/>
      <c r="H44" s="32">
        <f t="shared" si="0"/>
        <v>0</v>
      </c>
    </row>
    <row r="45" spans="2:8" ht="15.2" customHeight="1">
      <c r="B45" s="798">
        <v>9</v>
      </c>
      <c r="C45" s="801" t="s">
        <v>374</v>
      </c>
      <c r="D45" s="805" t="s">
        <v>375</v>
      </c>
      <c r="E45" s="32">
        <v>35</v>
      </c>
      <c r="F45" s="32">
        <v>2.4</v>
      </c>
      <c r="G45" s="32"/>
      <c r="H45" s="32">
        <f t="shared" si="0"/>
        <v>0</v>
      </c>
    </row>
    <row r="46" spans="2:8">
      <c r="B46" s="800"/>
      <c r="C46" s="801"/>
      <c r="D46" s="805"/>
      <c r="E46" s="33" t="s">
        <v>333</v>
      </c>
      <c r="F46" s="50">
        <v>2.4</v>
      </c>
      <c r="G46" s="32"/>
      <c r="H46" s="32">
        <f t="shared" si="0"/>
        <v>0</v>
      </c>
    </row>
    <row r="47" spans="2:8" ht="31.5">
      <c r="B47" s="39">
        <v>10</v>
      </c>
      <c r="C47" s="49" t="s">
        <v>376</v>
      </c>
      <c r="D47" s="52" t="s">
        <v>377</v>
      </c>
      <c r="E47" s="54" t="s">
        <v>333</v>
      </c>
      <c r="F47" s="39">
        <v>2.5</v>
      </c>
      <c r="G47" s="39"/>
      <c r="H47" s="32">
        <f t="shared" si="0"/>
        <v>0</v>
      </c>
    </row>
    <row r="48" spans="2:8" ht="31.5">
      <c r="B48" s="39">
        <v>11</v>
      </c>
      <c r="C48" s="49" t="s">
        <v>378</v>
      </c>
      <c r="D48" s="52" t="s">
        <v>379</v>
      </c>
      <c r="E48" s="54" t="s">
        <v>333</v>
      </c>
      <c r="F48" s="39">
        <v>2.2999999999999998</v>
      </c>
      <c r="G48" s="39">
        <v>8</v>
      </c>
      <c r="H48" s="32">
        <f t="shared" si="0"/>
        <v>18.399999999999999</v>
      </c>
    </row>
    <row r="49" spans="2:8" ht="31.5" customHeight="1">
      <c r="B49" s="39">
        <v>12</v>
      </c>
      <c r="C49" s="49" t="s">
        <v>380</v>
      </c>
      <c r="D49" s="52" t="s">
        <v>379</v>
      </c>
      <c r="E49" s="54" t="s">
        <v>333</v>
      </c>
      <c r="F49" s="39">
        <v>3</v>
      </c>
      <c r="G49" s="39">
        <v>11</v>
      </c>
      <c r="H49" s="32">
        <f t="shared" si="0"/>
        <v>33</v>
      </c>
    </row>
    <row r="50" spans="2:8" ht="31.5" customHeight="1">
      <c r="B50" s="39">
        <v>13</v>
      </c>
      <c r="C50" s="49" t="s">
        <v>381</v>
      </c>
      <c r="D50" s="52" t="s">
        <v>362</v>
      </c>
      <c r="E50" s="54" t="s">
        <v>370</v>
      </c>
      <c r="F50" s="39">
        <v>3.5</v>
      </c>
      <c r="G50" s="39"/>
      <c r="H50" s="32">
        <f t="shared" si="0"/>
        <v>0</v>
      </c>
    </row>
    <row r="51" spans="2:8" ht="15.2" customHeight="1">
      <c r="B51" s="798">
        <v>14</v>
      </c>
      <c r="C51" s="801" t="s">
        <v>64</v>
      </c>
      <c r="D51" s="801"/>
      <c r="E51" s="32" t="s">
        <v>8</v>
      </c>
      <c r="F51" s="32" t="s">
        <v>326</v>
      </c>
      <c r="G51" s="32" t="s">
        <v>326</v>
      </c>
      <c r="H51" s="32">
        <f>H10+H11+H12+H13+H14+H15+H17+H18+H19+H20+H21+H22+H25+H26+H27+H28+H29+H30+H33+H34+H37+H38+H39+H40</f>
        <v>0</v>
      </c>
    </row>
    <row r="52" spans="2:8">
      <c r="B52" s="799"/>
      <c r="C52" s="801"/>
      <c r="D52" s="801"/>
      <c r="E52" s="32" t="s">
        <v>577</v>
      </c>
      <c r="F52" s="32" t="s">
        <v>326</v>
      </c>
      <c r="G52" s="32" t="s">
        <v>326</v>
      </c>
      <c r="H52" s="32">
        <f>H16+H23+H31+H35+H41+H45+H50</f>
        <v>0</v>
      </c>
    </row>
    <row r="53" spans="2:8">
      <c r="B53" s="799"/>
      <c r="C53" s="804"/>
      <c r="D53" s="804"/>
      <c r="E53" s="32" t="s">
        <v>578</v>
      </c>
      <c r="F53" s="42"/>
      <c r="G53" s="42"/>
      <c r="H53" s="42">
        <f>H24+H32+H36+H42+H43+H44+H46+H47+H48+H49</f>
        <v>396.4</v>
      </c>
    </row>
    <row r="54" spans="2:8">
      <c r="B54" s="800"/>
      <c r="C54" s="804"/>
      <c r="D54" s="804"/>
      <c r="E54" s="220" t="s">
        <v>11</v>
      </c>
      <c r="F54" s="221" t="s">
        <v>326</v>
      </c>
      <c r="G54" s="42" t="s">
        <v>326</v>
      </c>
      <c r="H54" s="42">
        <v>0</v>
      </c>
    </row>
    <row r="55" spans="2:8">
      <c r="B55" s="39">
        <v>15</v>
      </c>
      <c r="C55" s="803" t="s">
        <v>282</v>
      </c>
      <c r="D55" s="803"/>
      <c r="E55" s="803"/>
      <c r="F55" s="219" t="s">
        <v>326</v>
      </c>
      <c r="G55" s="219" t="s">
        <v>326</v>
      </c>
      <c r="H55" s="219">
        <f>SUM(H51:H54)</f>
        <v>396.4</v>
      </c>
    </row>
    <row r="57" spans="2:8" ht="15.75" customHeight="1">
      <c r="B57" s="786" t="s">
        <v>343</v>
      </c>
      <c r="C57" s="786"/>
      <c r="D57" s="786"/>
      <c r="E57" s="786"/>
      <c r="F57" s="786"/>
      <c r="G57" s="786"/>
      <c r="H57" s="786"/>
    </row>
    <row r="58" spans="2:8" ht="15.2" customHeight="1">
      <c r="B58" s="786" t="s">
        <v>382</v>
      </c>
      <c r="C58" s="786"/>
      <c r="D58" s="786"/>
      <c r="E58" s="786"/>
      <c r="F58" s="786"/>
      <c r="G58" s="786"/>
      <c r="H58" s="786"/>
    </row>
    <row r="59" spans="2:8" ht="43.5" customHeight="1">
      <c r="B59" s="786" t="s">
        <v>383</v>
      </c>
      <c r="C59" s="786"/>
      <c r="D59" s="786"/>
      <c r="E59" s="786"/>
      <c r="F59" s="786"/>
      <c r="G59" s="786"/>
      <c r="H59" s="786"/>
    </row>
    <row r="60" spans="2:8" ht="29.25" customHeight="1">
      <c r="B60" s="786" t="s">
        <v>384</v>
      </c>
      <c r="C60" s="786"/>
      <c r="D60" s="786"/>
      <c r="E60" s="786"/>
      <c r="F60" s="786"/>
      <c r="G60" s="786"/>
      <c r="H60" s="786"/>
    </row>
    <row r="61" spans="2:8" ht="43.5" customHeight="1">
      <c r="B61" s="786" t="s">
        <v>385</v>
      </c>
      <c r="C61" s="786"/>
      <c r="D61" s="786"/>
      <c r="E61" s="786"/>
      <c r="F61" s="786"/>
      <c r="G61" s="786"/>
      <c r="H61" s="786"/>
    </row>
    <row r="62" spans="2:8" ht="58.5" customHeight="1">
      <c r="B62" s="786" t="s">
        <v>386</v>
      </c>
      <c r="C62" s="786"/>
      <c r="D62" s="786"/>
      <c r="E62" s="786"/>
      <c r="F62" s="786"/>
      <c r="G62" s="786"/>
      <c r="H62" s="786"/>
    </row>
    <row r="63" spans="2:8" ht="62.25" customHeight="1">
      <c r="B63" s="786" t="s">
        <v>387</v>
      </c>
      <c r="C63" s="786"/>
      <c r="D63" s="786"/>
      <c r="E63" s="786"/>
      <c r="F63" s="786"/>
      <c r="G63" s="786"/>
      <c r="H63" s="786"/>
    </row>
    <row r="64" spans="2:8" ht="29.25" customHeight="1">
      <c r="B64" s="786" t="s">
        <v>388</v>
      </c>
      <c r="C64" s="786"/>
      <c r="D64" s="786"/>
      <c r="E64" s="786"/>
      <c r="F64" s="786"/>
      <c r="G64" s="786"/>
      <c r="H64" s="786"/>
    </row>
    <row r="65" spans="2:8" ht="29.25" customHeight="1">
      <c r="B65" s="786" t="s">
        <v>389</v>
      </c>
      <c r="C65" s="786"/>
      <c r="D65" s="786"/>
      <c r="E65" s="786"/>
      <c r="F65" s="786"/>
      <c r="G65" s="786"/>
      <c r="H65" s="786"/>
    </row>
    <row r="66" spans="2:8" ht="29.25" customHeight="1">
      <c r="B66" s="786" t="s">
        <v>390</v>
      </c>
      <c r="C66" s="786"/>
      <c r="D66" s="786"/>
      <c r="E66" s="786"/>
      <c r="F66" s="786"/>
      <c r="G66" s="786"/>
      <c r="H66" s="786"/>
    </row>
    <row r="67" spans="2:8" ht="3" customHeight="1"/>
  </sheetData>
  <sheetProtection selectLockedCells="1" selectUnlockedCells="1"/>
  <mergeCells count="38">
    <mergeCell ref="B58:H58"/>
    <mergeCell ref="B63:H63"/>
    <mergeCell ref="B64:H64"/>
    <mergeCell ref="B65:H65"/>
    <mergeCell ref="B66:H66"/>
    <mergeCell ref="B59:H59"/>
    <mergeCell ref="B60:H60"/>
    <mergeCell ref="B61:H61"/>
    <mergeCell ref="B62:H62"/>
    <mergeCell ref="B57:H57"/>
    <mergeCell ref="C55:E55"/>
    <mergeCell ref="B51:B54"/>
    <mergeCell ref="C51:D54"/>
    <mergeCell ref="C37:C41"/>
    <mergeCell ref="D37:D41"/>
    <mergeCell ref="B45:B46"/>
    <mergeCell ref="C45:C46"/>
    <mergeCell ref="D45:D46"/>
    <mergeCell ref="B37:B41"/>
    <mergeCell ref="B25:B32"/>
    <mergeCell ref="C25:C32"/>
    <mergeCell ref="D25:D32"/>
    <mergeCell ref="B33:B36"/>
    <mergeCell ref="C33:C36"/>
    <mergeCell ref="D33:D36"/>
    <mergeCell ref="B10:B16"/>
    <mergeCell ref="C10:C16"/>
    <mergeCell ref="D10:D16"/>
    <mergeCell ref="B17:B24"/>
    <mergeCell ref="C17:C24"/>
    <mergeCell ref="D17:D24"/>
    <mergeCell ref="B3:H3"/>
    <mergeCell ref="B4:H4"/>
    <mergeCell ref="B5:H5"/>
    <mergeCell ref="B7:B8"/>
    <mergeCell ref="C7:C8"/>
    <mergeCell ref="D7:D8"/>
    <mergeCell ref="E7:E8"/>
  </mergeCells>
  <phoneticPr fontId="23" type="noConversion"/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6"/>
  <sheetViews>
    <sheetView topLeftCell="A22" zoomScale="85" zoomScaleNormal="85" workbookViewId="0">
      <selection activeCell="F19" sqref="F19:F39"/>
    </sheetView>
  </sheetViews>
  <sheetFormatPr defaultRowHeight="15" outlineLevelRow="2"/>
  <cols>
    <col min="1" max="1" width="6.28515625" style="56" customWidth="1"/>
    <col min="2" max="2" width="69.42578125" style="57" customWidth="1"/>
    <col min="3" max="3" width="11.140625" style="58" customWidth="1"/>
    <col min="4" max="4" width="17.140625" style="57" hidden="1" customWidth="1"/>
    <col min="5" max="5" width="13.140625" style="57" hidden="1" customWidth="1"/>
    <col min="6" max="6" width="14.28515625" style="57" customWidth="1"/>
    <col min="7" max="9" width="12.7109375" style="57" customWidth="1"/>
    <col min="10" max="10" width="9.140625" style="57"/>
    <col min="11" max="11" width="13.28515625" style="57" customWidth="1"/>
    <col min="12" max="16384" width="9.140625" style="57"/>
  </cols>
  <sheetData>
    <row r="1" spans="1:10" ht="13.5" customHeight="1">
      <c r="F1" s="806"/>
      <c r="G1" s="806"/>
    </row>
    <row r="2" spans="1:10" ht="36" customHeight="1">
      <c r="A2" s="808" t="s">
        <v>811</v>
      </c>
      <c r="B2" s="808"/>
      <c r="C2" s="808"/>
      <c r="D2" s="808"/>
      <c r="E2" s="808"/>
      <c r="F2" s="808"/>
      <c r="G2" s="808"/>
      <c r="H2" s="808"/>
      <c r="I2" s="808"/>
      <c r="J2" s="280"/>
    </row>
    <row r="3" spans="1:10" ht="10.5" customHeight="1">
      <c r="A3" s="59"/>
      <c r="B3" s="60"/>
      <c r="D3" s="60"/>
      <c r="E3" s="60"/>
      <c r="F3" s="60"/>
      <c r="G3" s="60"/>
    </row>
    <row r="4" spans="1:10" ht="12.75" customHeight="1">
      <c r="A4" s="59"/>
      <c r="B4" s="60"/>
      <c r="D4" s="60"/>
      <c r="E4" s="60"/>
      <c r="F4" s="807"/>
      <c r="G4" s="807"/>
      <c r="H4" s="807"/>
      <c r="I4" s="807"/>
    </row>
    <row r="5" spans="1:10" s="58" customFormat="1" ht="55.5" customHeight="1">
      <c r="A5" s="61" t="s">
        <v>410</v>
      </c>
      <c r="B5" s="62" t="s">
        <v>4</v>
      </c>
      <c r="C5" s="62" t="s">
        <v>354</v>
      </c>
      <c r="D5" s="63" t="s">
        <v>673</v>
      </c>
      <c r="E5" s="63" t="s">
        <v>583</v>
      </c>
      <c r="F5" s="647" t="s">
        <v>816</v>
      </c>
      <c r="G5" s="647" t="s">
        <v>817</v>
      </c>
      <c r="H5" s="63" t="s">
        <v>637</v>
      </c>
      <c r="I5" s="63" t="s">
        <v>638</v>
      </c>
    </row>
    <row r="6" spans="1:10" s="58" customFormat="1" ht="14.25" customHeight="1">
      <c r="A6" s="126">
        <v>1</v>
      </c>
      <c r="B6" s="261" t="s">
        <v>391</v>
      </c>
      <c r="C6" s="55"/>
      <c r="D6" s="131"/>
      <c r="E6" s="136"/>
      <c r="F6" s="136"/>
      <c r="G6" s="148"/>
      <c r="H6" s="148"/>
      <c r="I6" s="148"/>
    </row>
    <row r="7" spans="1:10" s="58" customFormat="1" ht="14.25" customHeight="1">
      <c r="A7" s="134"/>
      <c r="B7" s="137" t="s">
        <v>392</v>
      </c>
      <c r="C7" s="138" t="s">
        <v>393</v>
      </c>
      <c r="D7" s="139"/>
      <c r="E7" s="150"/>
      <c r="F7" s="150">
        <f>П1.4!J9</f>
        <v>8.5500000000000007</v>
      </c>
      <c r="G7" s="648"/>
      <c r="H7" s="278">
        <f>G7-F7</f>
        <v>-8.5500000000000007</v>
      </c>
      <c r="I7" s="111">
        <v>100</v>
      </c>
    </row>
    <row r="8" spans="1:10" s="58" customFormat="1" ht="14.25" customHeight="1">
      <c r="A8" s="134"/>
      <c r="B8" s="140" t="s">
        <v>304</v>
      </c>
      <c r="C8" s="138" t="s">
        <v>393</v>
      </c>
      <c r="D8" s="139"/>
      <c r="E8" s="150"/>
      <c r="F8" s="150">
        <f>П1.4!J18</f>
        <v>0.52300000000000002</v>
      </c>
      <c r="G8" s="648"/>
      <c r="H8" s="278">
        <f t="shared" ref="H8:H59" si="0">G8-F8</f>
        <v>-0.52300000000000002</v>
      </c>
      <c r="I8" s="111">
        <f>F8/F7*100</f>
        <v>6.1169590643274852</v>
      </c>
    </row>
    <row r="9" spans="1:10" s="58" customFormat="1" ht="14.25" customHeight="1">
      <c r="A9" s="134"/>
      <c r="B9" s="141" t="s">
        <v>629</v>
      </c>
      <c r="C9" s="138"/>
      <c r="D9" s="139"/>
      <c r="E9" s="150"/>
      <c r="F9" s="150">
        <f>F8</f>
        <v>0.52300000000000002</v>
      </c>
      <c r="G9" s="648"/>
      <c r="H9" s="278">
        <f t="shared" si="0"/>
        <v>-0.52300000000000002</v>
      </c>
      <c r="I9" s="111">
        <f>F9/F7*100</f>
        <v>6.1169590643274852</v>
      </c>
    </row>
    <row r="10" spans="1:10" s="58" customFormat="1" ht="14.25" customHeight="1">
      <c r="A10" s="134"/>
      <c r="B10" s="137" t="s">
        <v>394</v>
      </c>
      <c r="C10" s="138" t="s">
        <v>393</v>
      </c>
      <c r="D10" s="139"/>
      <c r="E10" s="150"/>
      <c r="F10" s="150">
        <f>F7-F8</f>
        <v>8.027000000000001</v>
      </c>
      <c r="G10" s="648"/>
      <c r="H10" s="278">
        <f t="shared" si="0"/>
        <v>-8.027000000000001</v>
      </c>
      <c r="I10" s="111">
        <f>F10/F7*100</f>
        <v>93.883040935672526</v>
      </c>
    </row>
    <row r="11" spans="1:10" s="58" customFormat="1" ht="14.25" customHeight="1">
      <c r="A11" s="134"/>
      <c r="B11" s="141" t="s">
        <v>627</v>
      </c>
      <c r="C11" s="138" t="s">
        <v>393</v>
      </c>
      <c r="D11" s="139"/>
      <c r="E11" s="150"/>
      <c r="F11" s="150">
        <f>П1.6!D16</f>
        <v>8.0030000000000019</v>
      </c>
      <c r="G11" s="648"/>
      <c r="H11" s="278">
        <f t="shared" si="0"/>
        <v>-8.0030000000000019</v>
      </c>
      <c r="I11" s="111">
        <f>F11/F7*100</f>
        <v>93.602339181286567</v>
      </c>
    </row>
    <row r="12" spans="1:10" s="58" customFormat="1" ht="14.25" customHeight="1">
      <c r="A12" s="134"/>
      <c r="B12" s="137" t="s">
        <v>395</v>
      </c>
      <c r="C12" s="138" t="s">
        <v>301</v>
      </c>
      <c r="D12" s="139"/>
      <c r="E12" s="150"/>
      <c r="F12" s="150">
        <f>П1.5!J9</f>
        <v>1.7450000000000001</v>
      </c>
      <c r="G12" s="648"/>
      <c r="H12" s="278">
        <f t="shared" si="0"/>
        <v>-1.7450000000000001</v>
      </c>
      <c r="I12" s="111">
        <v>100</v>
      </c>
    </row>
    <row r="13" spans="1:10" ht="14.25" customHeight="1">
      <c r="A13" s="134"/>
      <c r="B13" s="137" t="s">
        <v>396</v>
      </c>
      <c r="C13" s="138" t="s">
        <v>301</v>
      </c>
      <c r="D13" s="131"/>
      <c r="E13" s="150"/>
      <c r="F13" s="150">
        <f>П1.5!J14</f>
        <v>0.106794</v>
      </c>
      <c r="G13" s="648"/>
      <c r="H13" s="278">
        <f t="shared" si="0"/>
        <v>-0.106794</v>
      </c>
      <c r="I13" s="111">
        <f>F13/F12*100</f>
        <v>6.12</v>
      </c>
    </row>
    <row r="14" spans="1:10" ht="14.25" customHeight="1">
      <c r="A14" s="134"/>
      <c r="B14" s="141" t="s">
        <v>628</v>
      </c>
      <c r="C14" s="138"/>
      <c r="D14" s="131"/>
      <c r="E14" s="150"/>
      <c r="F14" s="150">
        <f>F13</f>
        <v>0.106794</v>
      </c>
      <c r="G14" s="648"/>
      <c r="H14" s="278">
        <f t="shared" si="0"/>
        <v>-0.106794</v>
      </c>
      <c r="I14" s="111">
        <f>F14/F12*100</f>
        <v>6.12</v>
      </c>
    </row>
    <row r="15" spans="1:10" ht="14.25" customHeight="1">
      <c r="A15" s="134"/>
      <c r="B15" s="137" t="s">
        <v>397</v>
      </c>
      <c r="C15" s="138" t="s">
        <v>301</v>
      </c>
      <c r="D15" s="128"/>
      <c r="E15" s="136"/>
      <c r="F15" s="150">
        <f>F12-F13</f>
        <v>1.6382060000000001</v>
      </c>
      <c r="G15" s="648"/>
      <c r="H15" s="278">
        <f t="shared" si="0"/>
        <v>-1.6382060000000001</v>
      </c>
      <c r="I15" s="111">
        <f>F15/F12*100</f>
        <v>93.88</v>
      </c>
    </row>
    <row r="16" spans="1:10" ht="15.75">
      <c r="A16" s="134"/>
      <c r="B16" s="141" t="s">
        <v>398</v>
      </c>
      <c r="C16" s="105" t="s">
        <v>301</v>
      </c>
      <c r="D16" s="255"/>
      <c r="E16" s="136"/>
      <c r="F16" s="259">
        <f>П1.6!I16</f>
        <v>1.6382060000000001</v>
      </c>
      <c r="G16" s="648"/>
      <c r="H16" s="278">
        <f t="shared" si="0"/>
        <v>-1.6382060000000001</v>
      </c>
      <c r="I16" s="111">
        <f>F16/F12*100</f>
        <v>93.88</v>
      </c>
    </row>
    <row r="17" spans="1:9" ht="15.75">
      <c r="A17" s="134"/>
      <c r="B17" s="137" t="s">
        <v>399</v>
      </c>
      <c r="C17" s="138" t="s">
        <v>639</v>
      </c>
      <c r="E17" s="136"/>
      <c r="F17" s="259">
        <f>'Прил. 2 П2.1'!J56+'Прил.2 П2.2'!H55</f>
        <v>457.99339999999995</v>
      </c>
      <c r="G17" s="649"/>
      <c r="H17" s="278">
        <f t="shared" si="0"/>
        <v>-457.99339999999995</v>
      </c>
      <c r="I17" s="76"/>
    </row>
    <row r="18" spans="1:9">
      <c r="A18" s="87" t="s">
        <v>59</v>
      </c>
      <c r="B18" s="262" t="s">
        <v>425</v>
      </c>
      <c r="C18" s="89"/>
      <c r="D18" s="90"/>
      <c r="E18" s="88"/>
      <c r="F18" s="88"/>
      <c r="G18" s="650"/>
      <c r="H18" s="279">
        <f t="shared" si="0"/>
        <v>0</v>
      </c>
      <c r="I18" s="131"/>
    </row>
    <row r="19" spans="1:9" ht="18" customHeight="1">
      <c r="A19" s="91" t="s">
        <v>187</v>
      </c>
      <c r="B19" s="92" t="s">
        <v>426</v>
      </c>
      <c r="C19" s="93" t="s">
        <v>400</v>
      </c>
      <c r="D19" s="94"/>
      <c r="E19" s="98"/>
      <c r="F19" s="98">
        <f>SUM(F20:F21)</f>
        <v>4606.7531065000003</v>
      </c>
      <c r="G19" s="651"/>
      <c r="H19" s="279">
        <f t="shared" si="0"/>
        <v>-4606.7531065000003</v>
      </c>
      <c r="I19" s="111">
        <f t="shared" ref="I19:I56" si="1">F19/F$58*100</f>
        <v>46.265662866789576</v>
      </c>
    </row>
    <row r="20" spans="1:9" ht="17.25" customHeight="1" outlineLevel="1">
      <c r="A20" s="91" t="s">
        <v>427</v>
      </c>
      <c r="B20" s="92" t="s">
        <v>428</v>
      </c>
      <c r="C20" s="93" t="s">
        <v>400</v>
      </c>
      <c r="D20" s="94"/>
      <c r="E20" s="97"/>
      <c r="F20" s="106">
        <f>'Произв. р.'!N19</f>
        <v>1421.0231064999998</v>
      </c>
      <c r="G20" s="652"/>
      <c r="H20" s="279">
        <f t="shared" si="0"/>
        <v>-1421.0231064999998</v>
      </c>
      <c r="I20" s="111">
        <f t="shared" si="1"/>
        <v>14.271347834656744</v>
      </c>
    </row>
    <row r="21" spans="1:9" ht="42.75" customHeight="1" outlineLevel="1">
      <c r="A21" s="91" t="s">
        <v>429</v>
      </c>
      <c r="B21" s="92" t="s">
        <v>430</v>
      </c>
      <c r="C21" s="93" t="s">
        <v>400</v>
      </c>
      <c r="D21" s="94"/>
      <c r="E21" s="102"/>
      <c r="F21" s="106">
        <f>3089.73+58+38</f>
        <v>3185.73</v>
      </c>
      <c r="G21" s="652"/>
      <c r="H21" s="279">
        <f t="shared" si="0"/>
        <v>-3185.73</v>
      </c>
      <c r="I21" s="111">
        <f t="shared" si="1"/>
        <v>31.994315032132825</v>
      </c>
    </row>
    <row r="22" spans="1:9" ht="18" customHeight="1">
      <c r="A22" s="91" t="s">
        <v>192</v>
      </c>
      <c r="B22" s="92" t="s">
        <v>431</v>
      </c>
      <c r="C22" s="93" t="s">
        <v>400</v>
      </c>
      <c r="D22" s="94"/>
      <c r="E22" s="154"/>
      <c r="F22" s="98">
        <f>'Произв. р.'!N16+'Цеховые р.'!N16+Общехоз.р.!N16</f>
        <v>2598.3895686163669</v>
      </c>
      <c r="G22" s="651"/>
      <c r="H22" s="279">
        <f t="shared" si="0"/>
        <v>-2598.3895686163669</v>
      </c>
      <c r="I22" s="111">
        <f t="shared" si="1"/>
        <v>26.095649799110333</v>
      </c>
    </row>
    <row r="23" spans="1:9" ht="19.5" customHeight="1">
      <c r="A23" s="91" t="s">
        <v>194</v>
      </c>
      <c r="B23" s="92" t="s">
        <v>432</v>
      </c>
      <c r="C23" s="93" t="s">
        <v>400</v>
      </c>
      <c r="D23" s="94"/>
      <c r="E23" s="98"/>
      <c r="F23" s="98">
        <f>F24+F25+F31+F32+F33+F34+F35</f>
        <v>284.72047999999995</v>
      </c>
      <c r="G23" s="651"/>
      <c r="H23" s="279">
        <f t="shared" si="0"/>
        <v>-284.72047999999995</v>
      </c>
      <c r="I23" s="111">
        <f t="shared" si="1"/>
        <v>2.8594503404934102</v>
      </c>
    </row>
    <row r="24" spans="1:9" ht="18" customHeight="1" outlineLevel="1">
      <c r="A24" s="91" t="s">
        <v>401</v>
      </c>
      <c r="B24" s="99" t="s">
        <v>433</v>
      </c>
      <c r="C24" s="93" t="s">
        <v>400</v>
      </c>
      <c r="D24" s="94"/>
      <c r="E24" s="97"/>
      <c r="F24" s="106">
        <v>0</v>
      </c>
      <c r="G24" s="652"/>
      <c r="H24" s="279">
        <f t="shared" si="0"/>
        <v>0</v>
      </c>
      <c r="I24" s="111">
        <f t="shared" si="1"/>
        <v>0</v>
      </c>
    </row>
    <row r="25" spans="1:9" ht="18" customHeight="1" outlineLevel="1">
      <c r="A25" s="91" t="s">
        <v>434</v>
      </c>
      <c r="B25" s="100" t="s">
        <v>435</v>
      </c>
      <c r="C25" s="101" t="s">
        <v>400</v>
      </c>
      <c r="D25" s="96"/>
      <c r="E25" s="102"/>
      <c r="F25" s="102">
        <f>SUM(F26:F30)</f>
        <v>36</v>
      </c>
      <c r="G25" s="653"/>
      <c r="H25" s="279">
        <f t="shared" si="0"/>
        <v>-36</v>
      </c>
      <c r="I25" s="111">
        <f t="shared" si="1"/>
        <v>0.3615483236673484</v>
      </c>
    </row>
    <row r="26" spans="1:9" ht="18" customHeight="1" outlineLevel="2">
      <c r="A26" s="103" t="s">
        <v>436</v>
      </c>
      <c r="B26" s="104" t="s">
        <v>437</v>
      </c>
      <c r="C26" s="105" t="s">
        <v>233</v>
      </c>
      <c r="D26" s="94"/>
      <c r="E26" s="102"/>
      <c r="F26" s="106">
        <v>0</v>
      </c>
      <c r="G26" s="652"/>
      <c r="H26" s="279">
        <f t="shared" si="0"/>
        <v>0</v>
      </c>
      <c r="I26" s="111">
        <f t="shared" si="1"/>
        <v>0</v>
      </c>
    </row>
    <row r="27" spans="1:9" ht="29.25" customHeight="1" outlineLevel="2">
      <c r="A27" s="103" t="s">
        <v>438</v>
      </c>
      <c r="B27" s="107" t="s">
        <v>439</v>
      </c>
      <c r="C27" s="105" t="s">
        <v>233</v>
      </c>
      <c r="D27" s="94"/>
      <c r="E27" s="97"/>
      <c r="F27" s="106">
        <v>0</v>
      </c>
      <c r="G27" s="652"/>
      <c r="H27" s="279">
        <f t="shared" si="0"/>
        <v>0</v>
      </c>
      <c r="I27" s="111">
        <f t="shared" si="1"/>
        <v>0</v>
      </c>
    </row>
    <row r="28" spans="1:9" ht="18" customHeight="1" outlineLevel="2">
      <c r="A28" s="103" t="s">
        <v>440</v>
      </c>
      <c r="B28" s="104" t="s">
        <v>441</v>
      </c>
      <c r="C28" s="105" t="s">
        <v>233</v>
      </c>
      <c r="D28" s="94"/>
      <c r="E28" s="102"/>
      <c r="F28" s="106">
        <v>0</v>
      </c>
      <c r="G28" s="652"/>
      <c r="H28" s="279">
        <f t="shared" si="0"/>
        <v>0</v>
      </c>
      <c r="I28" s="111">
        <f t="shared" si="1"/>
        <v>0</v>
      </c>
    </row>
    <row r="29" spans="1:9" ht="18" customHeight="1" outlineLevel="2">
      <c r="A29" s="103" t="s">
        <v>442</v>
      </c>
      <c r="B29" s="104" t="s">
        <v>443</v>
      </c>
      <c r="C29" s="105"/>
      <c r="D29" s="94"/>
      <c r="E29" s="102"/>
      <c r="F29" s="106">
        <v>36</v>
      </c>
      <c r="G29" s="652"/>
      <c r="H29" s="279">
        <f t="shared" si="0"/>
        <v>-36</v>
      </c>
      <c r="I29" s="111">
        <f t="shared" si="1"/>
        <v>0.3615483236673484</v>
      </c>
    </row>
    <row r="30" spans="1:9" ht="18" customHeight="1" outlineLevel="2">
      <c r="A30" s="103" t="s">
        <v>444</v>
      </c>
      <c r="B30" s="104" t="s">
        <v>445</v>
      </c>
      <c r="C30" s="105" t="s">
        <v>233</v>
      </c>
      <c r="D30" s="94"/>
      <c r="E30" s="97"/>
      <c r="F30" s="106">
        <v>0</v>
      </c>
      <c r="G30" s="652"/>
      <c r="H30" s="279">
        <f t="shared" si="0"/>
        <v>0</v>
      </c>
      <c r="I30" s="111">
        <f t="shared" si="1"/>
        <v>0</v>
      </c>
    </row>
    <row r="31" spans="1:9" ht="18" customHeight="1" outlineLevel="1">
      <c r="A31" s="91" t="s">
        <v>446</v>
      </c>
      <c r="B31" s="92" t="s">
        <v>447</v>
      </c>
      <c r="C31" s="93" t="s">
        <v>400</v>
      </c>
      <c r="D31" s="94"/>
      <c r="E31" s="97"/>
      <c r="F31" s="106">
        <v>0</v>
      </c>
      <c r="G31" s="652"/>
      <c r="H31" s="279">
        <f t="shared" si="0"/>
        <v>0</v>
      </c>
      <c r="I31" s="111">
        <f t="shared" si="1"/>
        <v>0</v>
      </c>
    </row>
    <row r="32" spans="1:9" ht="18" customHeight="1" outlineLevel="1">
      <c r="A32" s="91" t="s">
        <v>448</v>
      </c>
      <c r="B32" s="92" t="s">
        <v>449</v>
      </c>
      <c r="C32" s="93" t="s">
        <v>400</v>
      </c>
      <c r="D32" s="94"/>
      <c r="E32" s="102"/>
      <c r="F32" s="106">
        <v>0</v>
      </c>
      <c r="G32" s="652"/>
      <c r="H32" s="279">
        <f t="shared" si="0"/>
        <v>0</v>
      </c>
      <c r="I32" s="111">
        <f t="shared" si="1"/>
        <v>0</v>
      </c>
    </row>
    <row r="33" spans="1:9" ht="26.25" customHeight="1" outlineLevel="1">
      <c r="A33" s="91" t="s">
        <v>450</v>
      </c>
      <c r="B33" s="92" t="s">
        <v>451</v>
      </c>
      <c r="C33" s="93" t="s">
        <v>400</v>
      </c>
      <c r="D33" s="94"/>
      <c r="E33" s="102"/>
      <c r="F33" s="106">
        <f>'Произв. р.'!N26+'Цеховые р.'!N22+Общехоз.р.!N22</f>
        <v>248.72047999999998</v>
      </c>
      <c r="G33" s="652"/>
      <c r="H33" s="279">
        <f t="shared" si="0"/>
        <v>-248.72047999999998</v>
      </c>
      <c r="I33" s="111">
        <f t="shared" si="1"/>
        <v>2.4979020168260622</v>
      </c>
    </row>
    <row r="34" spans="1:9" ht="18" customHeight="1" outlineLevel="1">
      <c r="A34" s="91" t="s">
        <v>452</v>
      </c>
      <c r="B34" s="92" t="s">
        <v>453</v>
      </c>
      <c r="C34" s="93" t="s">
        <v>400</v>
      </c>
      <c r="D34" s="94"/>
      <c r="E34" s="97"/>
      <c r="F34" s="106">
        <v>0</v>
      </c>
      <c r="G34" s="652"/>
      <c r="H34" s="279">
        <f t="shared" si="0"/>
        <v>0</v>
      </c>
      <c r="I34" s="111">
        <f t="shared" si="1"/>
        <v>0</v>
      </c>
    </row>
    <row r="35" spans="1:9" ht="18" customHeight="1" outlineLevel="1">
      <c r="A35" s="91" t="s">
        <v>454</v>
      </c>
      <c r="B35" s="92" t="s">
        <v>455</v>
      </c>
      <c r="C35" s="93" t="s">
        <v>400</v>
      </c>
      <c r="D35" s="94"/>
      <c r="E35" s="102"/>
      <c r="F35" s="106">
        <v>0</v>
      </c>
      <c r="G35" s="652"/>
      <c r="H35" s="279">
        <f t="shared" si="0"/>
        <v>0</v>
      </c>
      <c r="I35" s="111">
        <f t="shared" si="1"/>
        <v>0</v>
      </c>
    </row>
    <row r="36" spans="1:9" ht="30" customHeight="1">
      <c r="A36" s="91" t="s">
        <v>196</v>
      </c>
      <c r="B36" s="108" t="s">
        <v>456</v>
      </c>
      <c r="C36" s="93" t="s">
        <v>400</v>
      </c>
      <c r="D36" s="94"/>
      <c r="E36" s="97"/>
      <c r="F36" s="106">
        <f>П1.21.3!E12</f>
        <v>0</v>
      </c>
      <c r="G36" s="652"/>
      <c r="H36" s="279">
        <f t="shared" si="0"/>
        <v>0</v>
      </c>
      <c r="I36" s="111">
        <f t="shared" si="1"/>
        <v>0</v>
      </c>
    </row>
    <row r="37" spans="1:9" ht="18" customHeight="1">
      <c r="A37" s="87" t="s">
        <v>281</v>
      </c>
      <c r="B37" s="109" t="s">
        <v>457</v>
      </c>
      <c r="C37" s="110" t="s">
        <v>400</v>
      </c>
      <c r="D37" s="94"/>
      <c r="E37" s="111"/>
      <c r="F37" s="111">
        <f>F23+F22+F19+F36</f>
        <v>7489.8631551163671</v>
      </c>
      <c r="G37" s="654"/>
      <c r="H37" s="279">
        <f t="shared" si="0"/>
        <v>-7489.8631551163671</v>
      </c>
      <c r="I37" s="111">
        <f t="shared" si="1"/>
        <v>75.220763006393327</v>
      </c>
    </row>
    <row r="38" spans="1:9" ht="18" customHeight="1">
      <c r="A38" s="87" t="s">
        <v>61</v>
      </c>
      <c r="B38" s="88" t="s">
        <v>458</v>
      </c>
      <c r="C38" s="112"/>
      <c r="D38" s="94"/>
      <c r="E38" s="95"/>
      <c r="F38" s="98"/>
      <c r="G38" s="651"/>
      <c r="H38" s="279"/>
      <c r="I38" s="111"/>
    </row>
    <row r="39" spans="1:9" ht="18" customHeight="1">
      <c r="A39" s="113" t="s">
        <v>459</v>
      </c>
      <c r="B39" s="114" t="s">
        <v>460</v>
      </c>
      <c r="C39" s="115" t="s">
        <v>400</v>
      </c>
      <c r="D39" s="94"/>
      <c r="E39" s="116"/>
      <c r="F39" s="106">
        <f>СиМ!E64</f>
        <v>84</v>
      </c>
      <c r="G39" s="652"/>
      <c r="H39" s="279">
        <f t="shared" si="0"/>
        <v>-84</v>
      </c>
      <c r="I39" s="111">
        <f t="shared" si="1"/>
        <v>0.84361275522381285</v>
      </c>
    </row>
    <row r="40" spans="1:9" ht="18" customHeight="1">
      <c r="A40" s="113" t="s">
        <v>461</v>
      </c>
      <c r="B40" s="114" t="s">
        <v>630</v>
      </c>
      <c r="C40" s="115"/>
      <c r="D40" s="94"/>
      <c r="E40" s="116"/>
      <c r="F40" s="106">
        <v>0</v>
      </c>
      <c r="G40" s="652"/>
      <c r="H40" s="279">
        <f t="shared" si="0"/>
        <v>0</v>
      </c>
      <c r="I40" s="111">
        <f t="shared" si="1"/>
        <v>0</v>
      </c>
    </row>
    <row r="41" spans="1:9" ht="18" customHeight="1">
      <c r="A41" s="113" t="s">
        <v>463</v>
      </c>
      <c r="B41" s="114" t="s">
        <v>462</v>
      </c>
      <c r="C41" s="115" t="s">
        <v>400</v>
      </c>
      <c r="D41" s="94"/>
      <c r="E41" s="116"/>
      <c r="F41" s="106">
        <f>СиМ!E68</f>
        <v>0</v>
      </c>
      <c r="G41" s="652"/>
      <c r="H41" s="279">
        <f t="shared" si="0"/>
        <v>0</v>
      </c>
      <c r="I41" s="111">
        <f t="shared" si="1"/>
        <v>0</v>
      </c>
    </row>
    <row r="42" spans="1:9" ht="18" customHeight="1">
      <c r="A42" s="113" t="s">
        <v>465</v>
      </c>
      <c r="B42" s="108" t="s">
        <v>464</v>
      </c>
      <c r="C42" s="118" t="s">
        <v>400</v>
      </c>
      <c r="D42" s="94"/>
      <c r="E42" s="119"/>
      <c r="F42" s="106">
        <f>'Произв. р.'!N25+'Цеховые р.'!N21+Общехоз.р.!N21</f>
        <v>1512</v>
      </c>
      <c r="G42" s="652"/>
      <c r="H42" s="279">
        <f t="shared" si="0"/>
        <v>-1512</v>
      </c>
      <c r="I42" s="111">
        <f t="shared" si="1"/>
        <v>15.185029594028631</v>
      </c>
    </row>
    <row r="43" spans="1:9" ht="18" customHeight="1">
      <c r="A43" s="113" t="s">
        <v>469</v>
      </c>
      <c r="B43" s="108" t="s">
        <v>466</v>
      </c>
      <c r="C43" s="118" t="s">
        <v>400</v>
      </c>
      <c r="D43" s="120"/>
      <c r="E43" s="121"/>
      <c r="F43" s="106">
        <f>SUM(F44:F47)</f>
        <v>84</v>
      </c>
      <c r="G43" s="652"/>
      <c r="H43" s="279">
        <f t="shared" si="0"/>
        <v>-84</v>
      </c>
      <c r="I43" s="111">
        <f t="shared" si="1"/>
        <v>0.84361275522381285</v>
      </c>
    </row>
    <row r="44" spans="1:9" ht="18" customHeight="1" outlineLevel="1">
      <c r="A44" s="117" t="s">
        <v>631</v>
      </c>
      <c r="B44" s="122" t="s">
        <v>617</v>
      </c>
      <c r="C44" s="118" t="s">
        <v>400</v>
      </c>
      <c r="D44" s="94"/>
      <c r="E44" s="123"/>
      <c r="F44" s="106">
        <v>0</v>
      </c>
      <c r="G44" s="652"/>
      <c r="H44" s="279">
        <f t="shared" si="0"/>
        <v>0</v>
      </c>
      <c r="I44" s="111">
        <f t="shared" si="1"/>
        <v>0</v>
      </c>
    </row>
    <row r="45" spans="1:9" ht="18" customHeight="1" outlineLevel="1">
      <c r="A45" s="117" t="s">
        <v>632</v>
      </c>
      <c r="B45" s="122" t="s">
        <v>467</v>
      </c>
      <c r="C45" s="118" t="s">
        <v>400</v>
      </c>
      <c r="D45" s="94"/>
      <c r="E45" s="123"/>
      <c r="F45" s="106">
        <v>0</v>
      </c>
      <c r="G45" s="652"/>
      <c r="H45" s="279">
        <f t="shared" si="0"/>
        <v>0</v>
      </c>
      <c r="I45" s="111">
        <f t="shared" si="1"/>
        <v>0</v>
      </c>
    </row>
    <row r="46" spans="1:9" ht="18" customHeight="1" outlineLevel="1">
      <c r="A46" s="117" t="s">
        <v>633</v>
      </c>
      <c r="B46" s="122" t="s">
        <v>468</v>
      </c>
      <c r="C46" s="118" t="s">
        <v>400</v>
      </c>
      <c r="D46" s="94"/>
      <c r="E46" s="123"/>
      <c r="F46" s="106">
        <v>0</v>
      </c>
      <c r="G46" s="652"/>
      <c r="H46" s="279">
        <f t="shared" si="0"/>
        <v>0</v>
      </c>
      <c r="I46" s="111">
        <f t="shared" si="1"/>
        <v>0</v>
      </c>
    </row>
    <row r="47" spans="1:9" ht="18" customHeight="1" outlineLevel="1">
      <c r="A47" s="117" t="s">
        <v>634</v>
      </c>
      <c r="B47" s="122" t="s">
        <v>616</v>
      </c>
      <c r="C47" s="118" t="s">
        <v>400</v>
      </c>
      <c r="D47" s="94"/>
      <c r="E47" s="123"/>
      <c r="F47" s="106">
        <v>84</v>
      </c>
      <c r="G47" s="652"/>
      <c r="H47" s="279">
        <f t="shared" si="0"/>
        <v>-84</v>
      </c>
      <c r="I47" s="111">
        <f t="shared" si="1"/>
        <v>0.84361275522381285</v>
      </c>
    </row>
    <row r="48" spans="1:9" ht="18" customHeight="1">
      <c r="A48" s="117" t="s">
        <v>471</v>
      </c>
      <c r="B48" s="114" t="s">
        <v>470</v>
      </c>
      <c r="C48" s="118" t="s">
        <v>400</v>
      </c>
      <c r="D48" s="94"/>
      <c r="E48" s="155"/>
      <c r="F48" s="106">
        <f>'Произв. р.'!N17+'Цеховые р.'!N17+Общехоз.р.!N17</f>
        <v>787.31203929075923</v>
      </c>
      <c r="G48" s="652"/>
      <c r="H48" s="279">
        <f t="shared" si="0"/>
        <v>-787.31203929075923</v>
      </c>
      <c r="I48" s="111">
        <f t="shared" si="1"/>
        <v>7.9069818891304307</v>
      </c>
    </row>
    <row r="49" spans="1:11" ht="18" customHeight="1">
      <c r="A49" s="117" t="s">
        <v>473</v>
      </c>
      <c r="B49" s="108" t="s">
        <v>472</v>
      </c>
      <c r="C49" s="118" t="s">
        <v>400</v>
      </c>
      <c r="D49" s="94"/>
      <c r="E49" s="123"/>
      <c r="F49" s="106">
        <v>0</v>
      </c>
      <c r="G49" s="652"/>
      <c r="H49" s="279">
        <f t="shared" si="0"/>
        <v>0</v>
      </c>
      <c r="I49" s="111">
        <f t="shared" si="1"/>
        <v>0</v>
      </c>
    </row>
    <row r="50" spans="1:11" ht="18" customHeight="1">
      <c r="A50" s="117" t="s">
        <v>475</v>
      </c>
      <c r="B50" s="108" t="s">
        <v>474</v>
      </c>
      <c r="C50" s="118" t="s">
        <v>400</v>
      </c>
      <c r="D50" s="94"/>
      <c r="E50" s="124"/>
      <c r="F50" s="106">
        <f>П1.21.3!E24</f>
        <v>0</v>
      </c>
      <c r="G50" s="652"/>
      <c r="H50" s="279">
        <f t="shared" si="0"/>
        <v>0</v>
      </c>
      <c r="I50" s="111">
        <f t="shared" si="1"/>
        <v>0</v>
      </c>
    </row>
    <row r="51" spans="1:11" ht="18" customHeight="1">
      <c r="A51" s="117" t="s">
        <v>477</v>
      </c>
      <c r="B51" s="108" t="s">
        <v>476</v>
      </c>
      <c r="C51" s="118" t="s">
        <v>400</v>
      </c>
      <c r="D51" s="94"/>
      <c r="E51" s="119"/>
      <c r="F51" s="106">
        <v>0</v>
      </c>
      <c r="G51" s="652"/>
      <c r="H51" s="279">
        <f t="shared" si="0"/>
        <v>0</v>
      </c>
      <c r="I51" s="111">
        <f t="shared" si="1"/>
        <v>0</v>
      </c>
    </row>
    <row r="52" spans="1:11" ht="18" customHeight="1">
      <c r="A52" s="117" t="s">
        <v>479</v>
      </c>
      <c r="B52" s="108" t="s">
        <v>478</v>
      </c>
      <c r="C52" s="118" t="s">
        <v>400</v>
      </c>
      <c r="D52" s="94"/>
      <c r="E52" s="119"/>
      <c r="F52" s="106">
        <f>П1.17!F13</f>
        <v>0</v>
      </c>
      <c r="G52" s="652"/>
      <c r="H52" s="279">
        <f t="shared" si="0"/>
        <v>0</v>
      </c>
      <c r="I52" s="111">
        <f t="shared" si="1"/>
        <v>0</v>
      </c>
    </row>
    <row r="53" spans="1:11" ht="18" customHeight="1">
      <c r="A53" s="117" t="s">
        <v>481</v>
      </c>
      <c r="B53" s="108" t="s">
        <v>480</v>
      </c>
      <c r="C53" s="118" t="s">
        <v>400</v>
      </c>
      <c r="D53" s="94"/>
      <c r="E53" s="119"/>
      <c r="F53" s="106">
        <f>П1.21.3!E11</f>
        <v>0</v>
      </c>
      <c r="G53" s="652"/>
      <c r="H53" s="279">
        <f t="shared" si="0"/>
        <v>0</v>
      </c>
      <c r="I53" s="111">
        <f t="shared" si="1"/>
        <v>0</v>
      </c>
    </row>
    <row r="54" spans="1:11" ht="18" customHeight="1">
      <c r="A54" s="125" t="s">
        <v>635</v>
      </c>
      <c r="B54" s="109" t="s">
        <v>482</v>
      </c>
      <c r="C54" s="110" t="s">
        <v>400</v>
      </c>
      <c r="D54" s="94"/>
      <c r="E54" s="111"/>
      <c r="F54" s="111">
        <f>F39+F42+F43+F49+F50+F51+F48+F41+F52+F53</f>
        <v>2467.3120392907595</v>
      </c>
      <c r="G54" s="654"/>
      <c r="H54" s="279">
        <f t="shared" si="0"/>
        <v>-2467.3120392907595</v>
      </c>
      <c r="I54" s="111">
        <f t="shared" si="1"/>
        <v>24.779236993606691</v>
      </c>
    </row>
    <row r="55" spans="1:11" ht="18" customHeight="1">
      <c r="A55" s="258">
        <v>4</v>
      </c>
      <c r="B55" s="127" t="s">
        <v>483</v>
      </c>
      <c r="C55" s="110" t="s">
        <v>400</v>
      </c>
      <c r="D55" s="94"/>
      <c r="E55" s="129"/>
      <c r="F55" s="129">
        <f>F37+F54</f>
        <v>9957.1751944071257</v>
      </c>
      <c r="G55" s="655"/>
      <c r="H55" s="279">
        <f t="shared" si="0"/>
        <v>-9957.1751944071257</v>
      </c>
      <c r="I55" s="111">
        <f t="shared" si="1"/>
        <v>100</v>
      </c>
    </row>
    <row r="56" spans="1:11" ht="31.5" customHeight="1">
      <c r="A56" s="130">
        <v>5</v>
      </c>
      <c r="B56" s="108" t="s">
        <v>484</v>
      </c>
      <c r="C56" s="118" t="s">
        <v>400</v>
      </c>
      <c r="D56" s="94"/>
      <c r="E56" s="95"/>
      <c r="F56" s="151">
        <v>0</v>
      </c>
      <c r="G56" s="656"/>
      <c r="H56" s="279">
        <f t="shared" si="0"/>
        <v>0</v>
      </c>
      <c r="I56" s="111">
        <f t="shared" si="1"/>
        <v>0</v>
      </c>
    </row>
    <row r="57" spans="1:11" ht="15" customHeight="1">
      <c r="A57" s="130">
        <v>6</v>
      </c>
      <c r="B57" s="108" t="s">
        <v>485</v>
      </c>
      <c r="C57" s="118" t="s">
        <v>400</v>
      </c>
      <c r="D57" s="94"/>
      <c r="E57" s="95"/>
      <c r="F57" s="151">
        <v>0</v>
      </c>
      <c r="G57" s="656"/>
      <c r="H57" s="279">
        <f t="shared" si="0"/>
        <v>0</v>
      </c>
      <c r="I57" s="111">
        <f>F57/F$58*100</f>
        <v>0</v>
      </c>
      <c r="K57" s="271"/>
    </row>
    <row r="58" spans="1:11" ht="18" customHeight="1">
      <c r="A58" s="258">
        <v>7</v>
      </c>
      <c r="B58" s="127" t="s">
        <v>486</v>
      </c>
      <c r="C58" s="110" t="s">
        <v>400</v>
      </c>
      <c r="D58" s="128"/>
      <c r="E58" s="129"/>
      <c r="F58" s="129">
        <f>F55+F56+F57</f>
        <v>9957.1751944071257</v>
      </c>
      <c r="G58" s="655"/>
      <c r="H58" s="279">
        <f t="shared" si="0"/>
        <v>-9957.1751944071257</v>
      </c>
      <c r="I58" s="129">
        <v>100</v>
      </c>
    </row>
    <row r="59" spans="1:11" ht="29.25" customHeight="1">
      <c r="A59" s="132">
        <v>8</v>
      </c>
      <c r="B59" s="108" t="s">
        <v>487</v>
      </c>
      <c r="C59" s="118" t="s">
        <v>400</v>
      </c>
      <c r="D59" s="133"/>
      <c r="E59" s="95"/>
      <c r="F59" s="98">
        <f>F8*F60</f>
        <v>1202.9000000000001</v>
      </c>
      <c r="G59" s="651"/>
      <c r="H59" s="279">
        <f t="shared" si="0"/>
        <v>-1202.9000000000001</v>
      </c>
      <c r="I59" s="98"/>
    </row>
    <row r="60" spans="1:11" ht="18" customHeight="1">
      <c r="A60" s="134">
        <f>A16+1</f>
        <v>1</v>
      </c>
      <c r="B60" s="137" t="s">
        <v>402</v>
      </c>
      <c r="C60" s="138" t="s">
        <v>403</v>
      </c>
      <c r="D60" s="131"/>
      <c r="E60" s="152"/>
      <c r="F60" s="274">
        <v>2300</v>
      </c>
      <c r="G60" s="657"/>
      <c r="H60" s="274"/>
      <c r="I60" s="274"/>
    </row>
    <row r="61" spans="1:11" ht="18" customHeight="1">
      <c r="A61" s="134">
        <f>A60+1</f>
        <v>2</v>
      </c>
      <c r="B61" s="142" t="s">
        <v>404</v>
      </c>
      <c r="C61" s="143" t="s">
        <v>488</v>
      </c>
      <c r="D61" s="144"/>
      <c r="E61" s="145"/>
      <c r="F61" s="145">
        <f>F58/F15/12*1000</f>
        <v>506508.09454606264</v>
      </c>
      <c r="G61" s="658"/>
      <c r="H61" s="145"/>
      <c r="I61" s="145"/>
    </row>
    <row r="62" spans="1:11" ht="27" customHeight="1">
      <c r="A62" s="134">
        <f>A61+1</f>
        <v>3</v>
      </c>
      <c r="B62" s="142" t="s">
        <v>405</v>
      </c>
      <c r="C62" s="143" t="s">
        <v>406</v>
      </c>
      <c r="D62" s="144"/>
      <c r="E62" s="145"/>
      <c r="F62" s="145">
        <f>F60*F8/F10</f>
        <v>149.85673352435529</v>
      </c>
      <c r="G62" s="658"/>
      <c r="H62" s="145"/>
      <c r="I62" s="145"/>
    </row>
    <row r="63" spans="1:11" ht="18" customHeight="1">
      <c r="A63" s="134">
        <f>A62+1</f>
        <v>4</v>
      </c>
      <c r="B63" s="142" t="s">
        <v>407</v>
      </c>
      <c r="C63" s="143" t="s">
        <v>406</v>
      </c>
      <c r="D63" s="144"/>
      <c r="E63" s="145"/>
      <c r="F63" s="145">
        <f>(F61*F15*12/F10/1000+F62)</f>
        <v>1390.3170791587299</v>
      </c>
      <c r="G63" s="658"/>
      <c r="H63" s="145"/>
      <c r="I63" s="145"/>
    </row>
    <row r="64" spans="1:11" ht="18" customHeight="1">
      <c r="B64" s="149"/>
    </row>
    <row r="65" spans="2:11" ht="18" customHeight="1">
      <c r="B65" s="263" t="s">
        <v>8</v>
      </c>
      <c r="C65" s="264" t="s">
        <v>418</v>
      </c>
      <c r="D65" s="265"/>
      <c r="E65" s="265"/>
      <c r="F65" s="266">
        <f>('Расчет 1'!F58*('Прил. 2 П2.1'!J52+'Прил.2 П2.2'!H51)/('Прил. 2 П2.1'!J56+'Прил.2 П2.2'!H55))</f>
        <v>0</v>
      </c>
      <c r="G65" s="266">
        <f>('Расчет 1'!G58*('Прил. 2 П2.1'!J52+'Прил.2 П2.2'!H51)/('Прил. 2 П2.1'!J56+'Прил.2 П2.2'!H55))</f>
        <v>0</v>
      </c>
      <c r="H65" s="147"/>
    </row>
    <row r="66" spans="2:11" ht="18" customHeight="1">
      <c r="B66" s="263" t="s">
        <v>640</v>
      </c>
      <c r="C66" s="264" t="s">
        <v>418</v>
      </c>
      <c r="D66" s="265"/>
      <c r="E66" s="265"/>
      <c r="F66" s="266">
        <f>('Расчет 1'!F58*('Прил. 2 П2.1'!J53+'Прил.2 П2.2'!H52)/('Прил. 2 П2.1'!J56+'Прил.2 П2.2'!H55))</f>
        <v>0</v>
      </c>
      <c r="G66" s="266">
        <f>('Расчет 1'!G58*('Прил. 2 П2.1'!J53+'Прил.2 П2.2'!H52)/('Прил. 2 П2.1'!J56+'Прил.2 П2.2'!H55))</f>
        <v>0</v>
      </c>
    </row>
    <row r="67" spans="2:11" ht="18" customHeight="1">
      <c r="B67" s="263" t="s">
        <v>641</v>
      </c>
      <c r="C67" s="264" t="s">
        <v>418</v>
      </c>
      <c r="D67" s="265"/>
      <c r="E67" s="265"/>
      <c r="F67" s="266">
        <f>('Расчет 1'!F58*('Прил. 2 П2.1'!J54+'Прил.2 П2.2'!H53)/('Прил. 2 П2.1'!J56+'Прил.2 П2.2'!H55))</f>
        <v>9350.9179762874792</v>
      </c>
      <c r="G67" s="266">
        <f>('Расчет 1'!G58*('Прил. 2 П2.1'!J54+'Прил.2 П2.2'!H53)/('Прил. 2 П2.1'!J56+'Прил.2 П2.2'!H55))</f>
        <v>0</v>
      </c>
    </row>
    <row r="68" spans="2:11" ht="18" customHeight="1">
      <c r="B68" s="263" t="s">
        <v>11</v>
      </c>
      <c r="C68" s="264" t="s">
        <v>418</v>
      </c>
      <c r="D68" s="265"/>
      <c r="E68" s="265"/>
      <c r="F68" s="266">
        <f>('Расчет 1'!F58*('Прил. 2 П2.1'!J55+'Прил.2 П2.2'!H54)/('Прил. 2 П2.1'!J56+'Прил.2 П2.2'!H55))</f>
        <v>606.25721811964843</v>
      </c>
      <c r="G68" s="266">
        <f>('Расчет 1'!G58*('Прил. 2 П2.1'!J55+'Прил.2 П2.2'!H54)/('Прил. 2 П2.1'!J56+'Прил.2 П2.2'!H55))</f>
        <v>0</v>
      </c>
    </row>
    <row r="69" spans="2:11" ht="18" customHeight="1">
      <c r="B69" s="263" t="s">
        <v>64</v>
      </c>
      <c r="C69" s="264" t="s">
        <v>418</v>
      </c>
      <c r="D69" s="267">
        <f>SUM(D65:D68)</f>
        <v>0</v>
      </c>
      <c r="E69" s="267">
        <f>SUM(E65:E68)</f>
        <v>0</v>
      </c>
      <c r="F69" s="267">
        <f>SUM(F65:F68)</f>
        <v>9957.1751944071275</v>
      </c>
      <c r="G69" s="267">
        <f>SUM(G65:G68)</f>
        <v>0</v>
      </c>
    </row>
    <row r="70" spans="2:11" ht="18" customHeight="1"/>
    <row r="71" spans="2:11" ht="18" customHeight="1">
      <c r="B71" s="57" t="s">
        <v>676</v>
      </c>
    </row>
    <row r="72" spans="2:11" ht="18" customHeight="1"/>
    <row r="73" spans="2:11" ht="18" customHeight="1"/>
    <row r="74" spans="2:11" ht="18" customHeight="1"/>
    <row r="75" spans="2:11" s="56" customFormat="1" ht="18" customHeight="1">
      <c r="B75" s="57"/>
      <c r="C75" s="58"/>
      <c r="D75" s="57"/>
      <c r="E75" s="57"/>
      <c r="F75" s="57"/>
      <c r="G75" s="57"/>
      <c r="H75" s="57"/>
      <c r="I75" s="57"/>
      <c r="J75" s="57"/>
      <c r="K75" s="57"/>
    </row>
    <row r="76" spans="2:11" s="56" customFormat="1" ht="18" customHeight="1">
      <c r="B76" s="57"/>
      <c r="C76" s="58"/>
      <c r="D76" s="57"/>
      <c r="E76" s="57"/>
      <c r="F76" s="57"/>
      <c r="G76" s="57"/>
      <c r="H76" s="57"/>
      <c r="I76" s="57"/>
      <c r="J76" s="57"/>
      <c r="K76" s="57"/>
    </row>
    <row r="77" spans="2:11" s="56" customFormat="1" ht="18" customHeight="1">
      <c r="B77" s="57"/>
      <c r="C77" s="58"/>
      <c r="D77" s="57"/>
      <c r="E77" s="57"/>
      <c r="F77" s="57"/>
      <c r="G77" s="57"/>
      <c r="H77" s="57"/>
      <c r="I77" s="57"/>
      <c r="J77" s="57"/>
      <c r="K77" s="57"/>
    </row>
    <row r="78" spans="2:11" s="56" customFormat="1" ht="18" customHeight="1">
      <c r="B78" s="57"/>
      <c r="C78" s="58"/>
      <c r="D78" s="57"/>
      <c r="E78" s="57"/>
      <c r="F78" s="57"/>
      <c r="G78" s="57"/>
      <c r="H78" s="57"/>
      <c r="I78" s="57"/>
      <c r="J78" s="57"/>
      <c r="K78" s="57"/>
    </row>
    <row r="79" spans="2:11" s="56" customFormat="1" ht="18" customHeight="1">
      <c r="B79" s="57"/>
      <c r="C79" s="58"/>
      <c r="D79" s="57"/>
      <c r="E79" s="57"/>
      <c r="F79" s="57"/>
      <c r="G79" s="57"/>
      <c r="H79" s="57"/>
      <c r="I79" s="57"/>
      <c r="J79" s="57"/>
      <c r="K79" s="57"/>
    </row>
    <row r="80" spans="2:11" s="56" customFormat="1" ht="18" customHeight="1">
      <c r="B80" s="57"/>
      <c r="C80" s="58"/>
      <c r="D80" s="57"/>
      <c r="E80" s="57"/>
      <c r="F80" s="57"/>
      <c r="G80" s="57"/>
      <c r="H80" s="57"/>
      <c r="I80" s="57"/>
      <c r="J80" s="57"/>
      <c r="K80" s="57"/>
    </row>
    <row r="81" spans="2:11" s="56" customFormat="1" ht="18" customHeight="1">
      <c r="B81" s="57"/>
      <c r="C81" s="58"/>
      <c r="D81" s="57"/>
      <c r="E81" s="57"/>
      <c r="F81" s="57"/>
      <c r="G81" s="57"/>
      <c r="H81" s="57"/>
      <c r="I81" s="57"/>
      <c r="J81" s="57"/>
      <c r="K81" s="57"/>
    </row>
    <row r="82" spans="2:11" s="56" customFormat="1" ht="18" customHeight="1">
      <c r="B82" s="57"/>
      <c r="C82" s="58"/>
      <c r="D82" s="57"/>
      <c r="E82" s="57"/>
      <c r="F82" s="57"/>
      <c r="G82" s="57"/>
      <c r="H82" s="57"/>
      <c r="I82" s="57"/>
      <c r="J82" s="57"/>
      <c r="K82" s="57"/>
    </row>
    <row r="83" spans="2:11" s="56" customFormat="1" ht="18" customHeight="1">
      <c r="B83" s="57"/>
      <c r="C83" s="58"/>
      <c r="D83" s="57"/>
      <c r="E83" s="57"/>
      <c r="F83" s="57"/>
      <c r="G83" s="57"/>
      <c r="H83" s="57"/>
      <c r="I83" s="57"/>
      <c r="J83" s="57"/>
      <c r="K83" s="57"/>
    </row>
    <row r="84" spans="2:11" s="56" customFormat="1" ht="18" customHeight="1">
      <c r="B84" s="57"/>
      <c r="C84" s="58"/>
      <c r="D84" s="57"/>
      <c r="E84" s="57"/>
      <c r="F84" s="57"/>
      <c r="G84" s="57"/>
      <c r="H84" s="57"/>
      <c r="I84" s="57"/>
      <c r="J84" s="57"/>
      <c r="K84" s="57"/>
    </row>
    <row r="85" spans="2:11" s="56" customFormat="1" ht="18" customHeight="1">
      <c r="B85" s="57"/>
      <c r="C85" s="58"/>
      <c r="D85" s="57"/>
      <c r="E85" s="57"/>
      <c r="F85" s="57"/>
      <c r="G85" s="57"/>
      <c r="H85" s="57"/>
      <c r="I85" s="57"/>
      <c r="J85" s="57"/>
      <c r="K85" s="57"/>
    </row>
    <row r="86" spans="2:11" s="56" customFormat="1" ht="18" customHeight="1">
      <c r="B86" s="57"/>
      <c r="C86" s="58"/>
      <c r="D86" s="57"/>
      <c r="E86" s="57"/>
      <c r="F86" s="57"/>
      <c r="G86" s="57"/>
      <c r="H86" s="57"/>
      <c r="I86" s="57"/>
      <c r="J86" s="57"/>
      <c r="K86" s="57"/>
    </row>
  </sheetData>
  <mergeCells count="3">
    <mergeCell ref="F1:G1"/>
    <mergeCell ref="F4:I4"/>
    <mergeCell ref="A2:I2"/>
  </mergeCells>
  <phoneticPr fontId="23" type="noConversion"/>
  <dataValidations count="1">
    <dataValidation type="decimal" allowBlank="1" showInputMessage="1" showErrorMessage="1" error="Ввведеное значение неверно" sqref="E26:E36 E51:E53 E39:E42 E44:E49 E20:E22 E24 D25:G25">
      <formula1>-1000000000000000</formula1>
      <formula2>1000000000000000</formula2>
    </dataValidation>
  </dataValidations>
  <printOptions horizontalCentered="1"/>
  <pageMargins left="0.9055118110236221" right="0.31496062992125984" top="0.74803149606299213" bottom="0.74803149606299213" header="0.31496062992125984" footer="0.31496062992125984"/>
  <pageSetup paperSize="9" scale="55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12"/>
  <sheetViews>
    <sheetView tabSelected="1" zoomScale="80" zoomScaleNormal="80" workbookViewId="0">
      <selection activeCell="P9" sqref="P9"/>
    </sheetView>
  </sheetViews>
  <sheetFormatPr defaultRowHeight="15" outlineLevelRow="2"/>
  <cols>
    <col min="1" max="1" width="6.28515625" style="56" customWidth="1"/>
    <col min="2" max="2" width="69.42578125" style="57" customWidth="1"/>
    <col min="3" max="3" width="12.28515625" style="58" customWidth="1"/>
    <col min="4" max="4" width="17.140625" style="57" customWidth="1"/>
    <col min="5" max="5" width="14.5703125" style="57" customWidth="1"/>
    <col min="6" max="6" width="12.85546875" style="57" customWidth="1"/>
    <col min="7" max="9" width="12.7109375" style="57" customWidth="1"/>
    <col min="10" max="10" width="12.5703125" style="57" customWidth="1"/>
    <col min="11" max="11" width="9.140625" style="57"/>
    <col min="12" max="12" width="13.28515625" style="57" customWidth="1"/>
    <col min="13" max="16384" width="9.140625" style="57"/>
  </cols>
  <sheetData>
    <row r="1" spans="1:10" ht="13.5" customHeight="1">
      <c r="F1" s="276"/>
      <c r="G1" s="276"/>
    </row>
    <row r="2" spans="1:10" ht="27" customHeight="1">
      <c r="A2" s="808" t="s">
        <v>818</v>
      </c>
      <c r="B2" s="808"/>
      <c r="C2" s="808"/>
      <c r="D2" s="808"/>
      <c r="E2" s="808"/>
      <c r="F2" s="808"/>
      <c r="G2" s="808"/>
      <c r="H2" s="808"/>
      <c r="I2" s="808"/>
      <c r="J2" s="808"/>
    </row>
    <row r="3" spans="1:10" ht="8.25" customHeight="1">
      <c r="A3" s="256"/>
      <c r="B3" s="257"/>
      <c r="C3" s="257"/>
      <c r="D3" s="257"/>
      <c r="E3" s="257"/>
      <c r="F3" s="257"/>
      <c r="G3" s="257"/>
    </row>
    <row r="4" spans="1:10" ht="15" customHeight="1">
      <c r="A4" s="817" t="s">
        <v>410</v>
      </c>
      <c r="B4" s="816" t="s">
        <v>4</v>
      </c>
      <c r="C4" s="816" t="s">
        <v>354</v>
      </c>
      <c r="D4" s="815" t="s">
        <v>675</v>
      </c>
      <c r="E4" s="815" t="s">
        <v>814</v>
      </c>
      <c r="F4" s="812" t="s">
        <v>636</v>
      </c>
      <c r="G4" s="813"/>
      <c r="H4" s="813"/>
      <c r="I4" s="813"/>
      <c r="J4" s="814"/>
    </row>
    <row r="5" spans="1:10" s="58" customFormat="1" ht="52.5" customHeight="1">
      <c r="A5" s="817"/>
      <c r="B5" s="816"/>
      <c r="C5" s="816"/>
      <c r="D5" s="815"/>
      <c r="E5" s="815"/>
      <c r="F5" s="647" t="s">
        <v>815</v>
      </c>
      <c r="G5" s="647" t="s">
        <v>820</v>
      </c>
      <c r="H5" s="647" t="s">
        <v>819</v>
      </c>
      <c r="I5" s="63" t="s">
        <v>674</v>
      </c>
      <c r="J5" s="63" t="s">
        <v>674</v>
      </c>
    </row>
    <row r="6" spans="1:10" ht="15.75">
      <c r="A6" s="64">
        <v>1</v>
      </c>
      <c r="B6" s="65" t="s">
        <v>411</v>
      </c>
      <c r="C6" s="66"/>
      <c r="D6" s="67"/>
      <c r="E6" s="153"/>
      <c r="F6" s="153"/>
      <c r="G6" s="153"/>
      <c r="H6" s="148"/>
      <c r="I6" s="255"/>
      <c r="J6" s="255"/>
    </row>
    <row r="7" spans="1:10">
      <c r="A7" s="68" t="s">
        <v>412</v>
      </c>
      <c r="B7" s="69" t="s">
        <v>413</v>
      </c>
      <c r="C7" s="70" t="s">
        <v>51</v>
      </c>
      <c r="D7" s="71"/>
      <c r="E7" s="659">
        <v>5.6000000000000001E-2</v>
      </c>
      <c r="F7" s="659">
        <v>4.7E-2</v>
      </c>
      <c r="G7" s="659">
        <v>4.7E-2</v>
      </c>
      <c r="H7" s="659">
        <v>4.7E-2</v>
      </c>
      <c r="I7" s="72"/>
      <c r="J7" s="72"/>
    </row>
    <row r="8" spans="1:10" ht="21.75" customHeight="1">
      <c r="A8" s="68" t="s">
        <v>414</v>
      </c>
      <c r="B8" s="69" t="s">
        <v>415</v>
      </c>
      <c r="C8" s="70" t="s">
        <v>51</v>
      </c>
      <c r="D8" s="73"/>
      <c r="E8" s="660">
        <v>0.01</v>
      </c>
      <c r="F8" s="660">
        <v>0.01</v>
      </c>
      <c r="G8" s="660">
        <v>0.01</v>
      </c>
      <c r="H8" s="660">
        <v>0.01</v>
      </c>
      <c r="I8" s="74"/>
      <c r="J8" s="74"/>
    </row>
    <row r="9" spans="1:10">
      <c r="A9" s="68" t="s">
        <v>416</v>
      </c>
      <c r="B9" s="69" t="s">
        <v>417</v>
      </c>
      <c r="C9" s="70" t="s">
        <v>418</v>
      </c>
      <c r="D9" s="75"/>
      <c r="E9" s="661"/>
      <c r="F9" s="661">
        <f>'Прил. 2 П2.1'!J56+'Прил.2 П2.2'!H55</f>
        <v>457.99339999999995</v>
      </c>
      <c r="G9" s="661">
        <f>F9</f>
        <v>457.99339999999995</v>
      </c>
      <c r="H9" s="661">
        <f>G9</f>
        <v>457.99339999999995</v>
      </c>
      <c r="I9" s="76"/>
      <c r="J9" s="76"/>
    </row>
    <row r="10" spans="1:10">
      <c r="A10" s="68" t="s">
        <v>419</v>
      </c>
      <c r="B10" s="69" t="s">
        <v>420</v>
      </c>
      <c r="C10" s="70" t="s">
        <v>51</v>
      </c>
      <c r="D10" s="77"/>
      <c r="E10" s="662">
        <f t="shared" ref="E10:H10" si="0">IF(D9=0,0,(E9-D9)/D9)</f>
        <v>0</v>
      </c>
      <c r="F10" s="662">
        <v>1</v>
      </c>
      <c r="G10" s="662">
        <f t="shared" si="0"/>
        <v>0</v>
      </c>
      <c r="H10" s="662">
        <f t="shared" si="0"/>
        <v>0</v>
      </c>
      <c r="I10" s="77"/>
      <c r="J10" s="77"/>
    </row>
    <row r="11" spans="1:10" ht="30">
      <c r="A11" s="68" t="s">
        <v>421</v>
      </c>
      <c r="B11" s="78" t="s">
        <v>422</v>
      </c>
      <c r="C11" s="79"/>
      <c r="D11" s="80"/>
      <c r="E11" s="663">
        <v>0.75</v>
      </c>
      <c r="F11" s="663">
        <v>0.75</v>
      </c>
      <c r="G11" s="663">
        <v>0.75</v>
      </c>
      <c r="H11" s="663">
        <v>0.75</v>
      </c>
      <c r="I11" s="81"/>
      <c r="J11" s="81"/>
    </row>
    <row r="12" spans="1:10">
      <c r="A12" s="82" t="s">
        <v>423</v>
      </c>
      <c r="B12" s="83" t="s">
        <v>424</v>
      </c>
      <c r="C12" s="84"/>
      <c r="D12" s="85"/>
      <c r="E12" s="664">
        <f t="shared" ref="E12:G12" si="1">(1+E7)*(1-E8)*(1+E10*E11)</f>
        <v>1.0454400000000001</v>
      </c>
      <c r="F12" s="664">
        <f>(1+F7)*(1-F8)*(1+F10*F11)*0</f>
        <v>0</v>
      </c>
      <c r="G12" s="664">
        <f t="shared" si="1"/>
        <v>1.03653</v>
      </c>
      <c r="H12" s="670">
        <v>1.0369999999999999</v>
      </c>
      <c r="I12" s="671"/>
      <c r="J12" s="86"/>
    </row>
    <row r="13" spans="1:10">
      <c r="A13" s="87" t="s">
        <v>59</v>
      </c>
      <c r="B13" s="88" t="s">
        <v>425</v>
      </c>
      <c r="C13" s="89"/>
      <c r="D13" s="90"/>
      <c r="E13" s="88"/>
      <c r="F13" s="88"/>
      <c r="G13" s="88"/>
      <c r="H13" s="148"/>
      <c r="I13" s="255"/>
      <c r="J13" s="255"/>
    </row>
    <row r="14" spans="1:10" ht="18" customHeight="1">
      <c r="A14" s="91" t="s">
        <v>187</v>
      </c>
      <c r="B14" s="92" t="s">
        <v>426</v>
      </c>
      <c r="C14" s="93" t="s">
        <v>400</v>
      </c>
      <c r="D14" s="94"/>
      <c r="E14" s="651">
        <v>2212.0936200000006</v>
      </c>
      <c r="F14" s="150">
        <v>4606.75</v>
      </c>
      <c r="G14" s="98">
        <f>SUM(G15:G16)</f>
        <v>4775.0345774999996</v>
      </c>
      <c r="H14" s="98">
        <f>SUM(H15:H16)</f>
        <v>4951.7108568674994</v>
      </c>
      <c r="I14" s="98"/>
      <c r="J14" s="98"/>
    </row>
    <row r="15" spans="1:10" ht="17.25" customHeight="1" outlineLevel="1">
      <c r="A15" s="91" t="s">
        <v>427</v>
      </c>
      <c r="B15" s="92" t="s">
        <v>428</v>
      </c>
      <c r="C15" s="93" t="s">
        <v>400</v>
      </c>
      <c r="D15" s="94"/>
      <c r="E15" s="652">
        <v>710.14754999999991</v>
      </c>
      <c r="F15" s="150">
        <v>1421.02</v>
      </c>
      <c r="G15" s="106">
        <f t="shared" ref="G15:H17" si="2">F15*G$12</f>
        <v>1472.9298606</v>
      </c>
      <c r="H15" s="106">
        <f t="shared" si="2"/>
        <v>1527.4282654422</v>
      </c>
      <c r="I15" s="106"/>
      <c r="J15" s="106"/>
    </row>
    <row r="16" spans="1:10" ht="42.75" customHeight="1" outlineLevel="1">
      <c r="A16" s="91" t="s">
        <v>429</v>
      </c>
      <c r="B16" s="92" t="s">
        <v>430</v>
      </c>
      <c r="C16" s="93" t="s">
        <v>400</v>
      </c>
      <c r="D16" s="94"/>
      <c r="E16" s="652">
        <v>1501.9460700000004</v>
      </c>
      <c r="F16" s="150">
        <v>3185.73</v>
      </c>
      <c r="G16" s="106">
        <f t="shared" si="2"/>
        <v>3302.1047168999999</v>
      </c>
      <c r="H16" s="106">
        <f t="shared" si="2"/>
        <v>3424.2825914252994</v>
      </c>
      <c r="I16" s="106"/>
      <c r="J16" s="106"/>
    </row>
    <row r="17" spans="1:11" ht="18" customHeight="1">
      <c r="A17" s="91" t="s">
        <v>192</v>
      </c>
      <c r="B17" s="92" t="s">
        <v>431</v>
      </c>
      <c r="C17" s="93" t="s">
        <v>400</v>
      </c>
      <c r="D17" s="94"/>
      <c r="E17" s="651">
        <v>808.50757723808124</v>
      </c>
      <c r="F17" s="150">
        <v>2598.39</v>
      </c>
      <c r="G17" s="98">
        <f t="shared" si="2"/>
        <v>2693.3091866999998</v>
      </c>
      <c r="H17" s="98">
        <f t="shared" si="2"/>
        <v>2792.9616266078997</v>
      </c>
      <c r="I17" s="98"/>
      <c r="J17" s="98"/>
    </row>
    <row r="18" spans="1:11" ht="19.5" customHeight="1">
      <c r="A18" s="91" t="s">
        <v>194</v>
      </c>
      <c r="B18" s="92" t="s">
        <v>432</v>
      </c>
      <c r="C18" s="93" t="s">
        <v>400</v>
      </c>
      <c r="D18" s="94"/>
      <c r="E18" s="651">
        <v>193.98962</v>
      </c>
      <c r="F18" s="150">
        <v>284.72000000000003</v>
      </c>
      <c r="G18" s="98">
        <f>G19+G20+G26+G27+G28+G29+G30</f>
        <v>295.1208216</v>
      </c>
      <c r="H18" s="98">
        <f>H19+H20+H26+H27+H28+H29+H30</f>
        <v>306.04029199919995</v>
      </c>
      <c r="I18" s="98"/>
      <c r="J18" s="98"/>
    </row>
    <row r="19" spans="1:11" ht="18" customHeight="1" outlineLevel="1">
      <c r="A19" s="91" t="s">
        <v>401</v>
      </c>
      <c r="B19" s="99" t="s">
        <v>433</v>
      </c>
      <c r="C19" s="93" t="s">
        <v>400</v>
      </c>
      <c r="D19" s="94"/>
      <c r="E19" s="652">
        <v>0</v>
      </c>
      <c r="F19" s="150">
        <f>П1.5!J16</f>
        <v>0</v>
      </c>
      <c r="G19" s="106">
        <f>F19*G$12</f>
        <v>0</v>
      </c>
      <c r="H19" s="106">
        <f>G19*H$12</f>
        <v>0</v>
      </c>
      <c r="I19" s="106"/>
      <c r="J19" s="106"/>
    </row>
    <row r="20" spans="1:11" ht="18" customHeight="1" outlineLevel="1">
      <c r="A20" s="91" t="s">
        <v>434</v>
      </c>
      <c r="B20" s="100" t="s">
        <v>435</v>
      </c>
      <c r="C20" s="101" t="s">
        <v>400</v>
      </c>
      <c r="D20" s="96"/>
      <c r="E20" s="653">
        <v>36</v>
      </c>
      <c r="F20" s="150">
        <v>36</v>
      </c>
      <c r="G20" s="102">
        <f>SUM(G21:G25)</f>
        <v>37.315079999999995</v>
      </c>
      <c r="H20" s="102">
        <f>SUM(H21:H25)</f>
        <v>38.695737959999988</v>
      </c>
      <c r="I20" s="102"/>
      <c r="J20" s="102"/>
    </row>
    <row r="21" spans="1:11" ht="18" customHeight="1" outlineLevel="2">
      <c r="A21" s="103" t="s">
        <v>436</v>
      </c>
      <c r="B21" s="104" t="s">
        <v>437</v>
      </c>
      <c r="C21" s="105" t="s">
        <v>233</v>
      </c>
      <c r="D21" s="94"/>
      <c r="E21" s="652">
        <v>0</v>
      </c>
      <c r="F21" s="150">
        <v>0</v>
      </c>
      <c r="G21" s="106">
        <f t="shared" ref="G21:H31" si="3">F21*G$12</f>
        <v>0</v>
      </c>
      <c r="H21" s="106">
        <f t="shared" si="3"/>
        <v>0</v>
      </c>
      <c r="I21" s="106"/>
      <c r="J21" s="106"/>
    </row>
    <row r="22" spans="1:11" ht="29.25" customHeight="1" outlineLevel="2">
      <c r="A22" s="103" t="s">
        <v>438</v>
      </c>
      <c r="B22" s="107" t="s">
        <v>439</v>
      </c>
      <c r="C22" s="105" t="s">
        <v>233</v>
      </c>
      <c r="D22" s="94"/>
      <c r="E22" s="652">
        <v>0</v>
      </c>
      <c r="F22" s="150">
        <v>0</v>
      </c>
      <c r="G22" s="106">
        <f t="shared" si="3"/>
        <v>0</v>
      </c>
      <c r="H22" s="106">
        <f t="shared" si="3"/>
        <v>0</v>
      </c>
      <c r="I22" s="106"/>
      <c r="J22" s="106"/>
      <c r="K22" s="275"/>
    </row>
    <row r="23" spans="1:11" ht="18" customHeight="1" outlineLevel="2">
      <c r="A23" s="103" t="s">
        <v>440</v>
      </c>
      <c r="B23" s="104" t="s">
        <v>441</v>
      </c>
      <c r="C23" s="105" t="s">
        <v>233</v>
      </c>
      <c r="D23" s="94"/>
      <c r="E23" s="652">
        <v>0</v>
      </c>
      <c r="F23" s="259">
        <f>П1.6!I23</f>
        <v>0</v>
      </c>
      <c r="G23" s="106">
        <f t="shared" si="3"/>
        <v>0</v>
      </c>
      <c r="H23" s="106">
        <f t="shared" si="3"/>
        <v>0</v>
      </c>
      <c r="I23" s="106"/>
      <c r="J23" s="106"/>
      <c r="K23" s="275"/>
    </row>
    <row r="24" spans="1:11" ht="18" customHeight="1" outlineLevel="2">
      <c r="A24" s="103" t="s">
        <v>442</v>
      </c>
      <c r="B24" s="104" t="s">
        <v>443</v>
      </c>
      <c r="C24" s="105"/>
      <c r="D24" s="94"/>
      <c r="E24" s="652">
        <v>36</v>
      </c>
      <c r="F24" s="259">
        <v>36</v>
      </c>
      <c r="G24" s="106">
        <f t="shared" si="3"/>
        <v>37.315079999999995</v>
      </c>
      <c r="H24" s="106">
        <f t="shared" si="3"/>
        <v>38.695737959999988</v>
      </c>
      <c r="I24" s="106"/>
      <c r="J24" s="106"/>
      <c r="K24" s="275"/>
    </row>
    <row r="25" spans="1:11" ht="18" customHeight="1" outlineLevel="2">
      <c r="A25" s="103" t="s">
        <v>444</v>
      </c>
      <c r="B25" s="104" t="s">
        <v>445</v>
      </c>
      <c r="C25" s="105" t="s">
        <v>233</v>
      </c>
      <c r="D25" s="94"/>
      <c r="E25" s="652">
        <v>0</v>
      </c>
      <c r="F25" s="667">
        <v>0</v>
      </c>
      <c r="G25" s="106">
        <f t="shared" si="3"/>
        <v>0</v>
      </c>
      <c r="H25" s="106">
        <f t="shared" si="3"/>
        <v>0</v>
      </c>
      <c r="I25" s="106"/>
      <c r="J25" s="106"/>
      <c r="K25" s="275"/>
    </row>
    <row r="26" spans="1:11" ht="18" customHeight="1" outlineLevel="1">
      <c r="A26" s="91" t="s">
        <v>446</v>
      </c>
      <c r="B26" s="92" t="s">
        <v>447</v>
      </c>
      <c r="C26" s="93" t="s">
        <v>400</v>
      </c>
      <c r="D26" s="94"/>
      <c r="E26" s="652">
        <v>0</v>
      </c>
      <c r="F26" s="98">
        <v>0</v>
      </c>
      <c r="G26" s="106">
        <f t="shared" si="3"/>
        <v>0</v>
      </c>
      <c r="H26" s="106">
        <f t="shared" si="3"/>
        <v>0</v>
      </c>
      <c r="I26" s="106"/>
      <c r="J26" s="106"/>
      <c r="K26" s="275"/>
    </row>
    <row r="27" spans="1:11" ht="18" customHeight="1" outlineLevel="1">
      <c r="A27" s="91" t="s">
        <v>448</v>
      </c>
      <c r="B27" s="92" t="s">
        <v>449</v>
      </c>
      <c r="C27" s="93" t="s">
        <v>400</v>
      </c>
      <c r="D27" s="94"/>
      <c r="E27" s="652">
        <v>82.68</v>
      </c>
      <c r="F27" s="106">
        <v>0</v>
      </c>
      <c r="G27" s="106">
        <f t="shared" si="3"/>
        <v>0</v>
      </c>
      <c r="H27" s="106">
        <f t="shared" si="3"/>
        <v>0</v>
      </c>
      <c r="I27" s="106"/>
      <c r="J27" s="106"/>
      <c r="K27" s="275"/>
    </row>
    <row r="28" spans="1:11" ht="26.25" customHeight="1" outlineLevel="1">
      <c r="A28" s="91" t="s">
        <v>450</v>
      </c>
      <c r="B28" s="92" t="s">
        <v>451</v>
      </c>
      <c r="C28" s="93" t="s">
        <v>400</v>
      </c>
      <c r="D28" s="94"/>
      <c r="E28" s="652">
        <v>75.309619999999995</v>
      </c>
      <c r="F28" s="106">
        <v>248.72</v>
      </c>
      <c r="G28" s="106">
        <f t="shared" si="3"/>
        <v>257.80574159999998</v>
      </c>
      <c r="H28" s="106">
        <f t="shared" si="3"/>
        <v>267.34455403919998</v>
      </c>
      <c r="I28" s="106"/>
      <c r="J28" s="106"/>
      <c r="K28" s="275"/>
    </row>
    <row r="29" spans="1:11" ht="18" customHeight="1" outlineLevel="1">
      <c r="A29" s="91" t="s">
        <v>452</v>
      </c>
      <c r="B29" s="92" t="s">
        <v>453</v>
      </c>
      <c r="C29" s="93" t="s">
        <v>400</v>
      </c>
      <c r="D29" s="94"/>
      <c r="E29" s="652">
        <v>0</v>
      </c>
      <c r="F29" s="98">
        <v>0</v>
      </c>
      <c r="G29" s="106">
        <f t="shared" si="3"/>
        <v>0</v>
      </c>
      <c r="H29" s="106">
        <f t="shared" si="3"/>
        <v>0</v>
      </c>
      <c r="I29" s="106"/>
      <c r="J29" s="106"/>
      <c r="K29" s="275"/>
    </row>
    <row r="30" spans="1:11" ht="18" customHeight="1" outlineLevel="1">
      <c r="A30" s="91" t="s">
        <v>454</v>
      </c>
      <c r="B30" s="92" t="s">
        <v>455</v>
      </c>
      <c r="C30" s="93" t="s">
        <v>400</v>
      </c>
      <c r="D30" s="94"/>
      <c r="E30" s="652">
        <v>0</v>
      </c>
      <c r="F30" s="98">
        <v>0</v>
      </c>
      <c r="G30" s="106">
        <f t="shared" si="3"/>
        <v>0</v>
      </c>
      <c r="H30" s="106">
        <f t="shared" si="3"/>
        <v>0</v>
      </c>
      <c r="I30" s="106"/>
      <c r="J30" s="106"/>
      <c r="K30" s="275"/>
    </row>
    <row r="31" spans="1:11" ht="30" customHeight="1">
      <c r="A31" s="91" t="s">
        <v>196</v>
      </c>
      <c r="B31" s="108" t="s">
        <v>456</v>
      </c>
      <c r="C31" s="93" t="s">
        <v>400</v>
      </c>
      <c r="D31" s="94"/>
      <c r="E31" s="652">
        <v>0</v>
      </c>
      <c r="F31" s="106">
        <v>0</v>
      </c>
      <c r="G31" s="106">
        <f t="shared" si="3"/>
        <v>0</v>
      </c>
      <c r="H31" s="106">
        <f t="shared" si="3"/>
        <v>0</v>
      </c>
      <c r="I31" s="106"/>
      <c r="J31" s="106"/>
      <c r="K31" s="275"/>
    </row>
    <row r="32" spans="1:11" ht="18" customHeight="1">
      <c r="A32" s="87" t="s">
        <v>281</v>
      </c>
      <c r="B32" s="109" t="s">
        <v>457</v>
      </c>
      <c r="C32" s="110" t="s">
        <v>400</v>
      </c>
      <c r="D32" s="94"/>
      <c r="E32" s="654">
        <v>3214.5908172380819</v>
      </c>
      <c r="F32" s="668">
        <v>7489.86</v>
      </c>
      <c r="G32" s="111">
        <f>G18+G17+G14+G31</f>
        <v>7763.4645857999994</v>
      </c>
      <c r="H32" s="111">
        <f>H18+H17+H14+H31</f>
        <v>8050.7127754745989</v>
      </c>
      <c r="I32" s="111"/>
      <c r="J32" s="111"/>
      <c r="K32" s="275"/>
    </row>
    <row r="33" spans="1:10" ht="18" customHeight="1">
      <c r="A33" s="87" t="s">
        <v>61</v>
      </c>
      <c r="B33" s="88" t="s">
        <v>458</v>
      </c>
      <c r="C33" s="112"/>
      <c r="D33" s="94"/>
      <c r="E33" s="651"/>
      <c r="F33" s="106">
        <v>0</v>
      </c>
      <c r="G33" s="98"/>
      <c r="H33" s="98"/>
      <c r="I33" s="260"/>
      <c r="J33" s="260"/>
    </row>
    <row r="34" spans="1:10" ht="18" customHeight="1">
      <c r="A34" s="113" t="s">
        <v>459</v>
      </c>
      <c r="B34" s="114" t="s">
        <v>460</v>
      </c>
      <c r="C34" s="115" t="s">
        <v>400</v>
      </c>
      <c r="D34" s="94"/>
      <c r="E34" s="652">
        <v>84</v>
      </c>
      <c r="F34" s="106">
        <v>84</v>
      </c>
      <c r="G34" s="106">
        <f>F34*G$12</f>
        <v>87.068519999999992</v>
      </c>
      <c r="H34" s="106">
        <f>G34*H$12</f>
        <v>90.290055239999987</v>
      </c>
      <c r="I34" s="106"/>
      <c r="J34" s="106"/>
    </row>
    <row r="35" spans="1:10" ht="18" customHeight="1">
      <c r="A35" s="113" t="s">
        <v>461</v>
      </c>
      <c r="B35" s="114" t="s">
        <v>462</v>
      </c>
      <c r="C35" s="115" t="s">
        <v>400</v>
      </c>
      <c r="D35" s="94"/>
      <c r="E35" s="652">
        <v>0</v>
      </c>
      <c r="F35" s="106">
        <v>0</v>
      </c>
      <c r="G35" s="106">
        <f t="shared" ref="G35:H35" si="4">F35*G$12</f>
        <v>0</v>
      </c>
      <c r="H35" s="106">
        <f t="shared" si="4"/>
        <v>0</v>
      </c>
      <c r="I35" s="106"/>
      <c r="J35" s="106"/>
    </row>
    <row r="36" spans="1:10" ht="18" customHeight="1">
      <c r="A36" s="113" t="s">
        <v>463</v>
      </c>
      <c r="B36" s="108" t="s">
        <v>464</v>
      </c>
      <c r="C36" s="118" t="s">
        <v>400</v>
      </c>
      <c r="D36" s="94"/>
      <c r="E36" s="652">
        <v>1092.5316847952381</v>
      </c>
      <c r="F36" s="106">
        <v>1512</v>
      </c>
      <c r="G36" s="106">
        <f>F36</f>
        <v>1512</v>
      </c>
      <c r="H36" s="106">
        <f>G36</f>
        <v>1512</v>
      </c>
      <c r="I36" s="106"/>
      <c r="J36" s="106"/>
    </row>
    <row r="37" spans="1:10" ht="18" customHeight="1">
      <c r="A37" s="113" t="s">
        <v>465</v>
      </c>
      <c r="B37" s="108" t="s">
        <v>466</v>
      </c>
      <c r="C37" s="118" t="s">
        <v>400</v>
      </c>
      <c r="D37" s="120"/>
      <c r="E37" s="652">
        <v>47.179562605418788</v>
      </c>
      <c r="F37" s="106">
        <v>84</v>
      </c>
      <c r="G37" s="106">
        <f>SUM(G38:G41)</f>
        <v>84</v>
      </c>
      <c r="H37" s="106">
        <f>SUM(H38:H41)</f>
        <v>84</v>
      </c>
      <c r="I37" s="106"/>
      <c r="J37" s="106"/>
    </row>
    <row r="38" spans="1:10" ht="18" customHeight="1" outlineLevel="1">
      <c r="A38" s="117" t="s">
        <v>656</v>
      </c>
      <c r="B38" s="122" t="s">
        <v>617</v>
      </c>
      <c r="C38" s="118" t="s">
        <v>400</v>
      </c>
      <c r="D38" s="94"/>
      <c r="E38" s="652">
        <v>0</v>
      </c>
      <c r="F38" s="106">
        <v>0</v>
      </c>
      <c r="G38" s="106">
        <v>0</v>
      </c>
      <c r="H38" s="106">
        <v>0</v>
      </c>
      <c r="I38" s="106"/>
      <c r="J38" s="106"/>
    </row>
    <row r="39" spans="1:10" ht="18" customHeight="1" outlineLevel="1">
      <c r="A39" s="117" t="s">
        <v>657</v>
      </c>
      <c r="B39" s="122" t="s">
        <v>467</v>
      </c>
      <c r="C39" s="118" t="s">
        <v>400</v>
      </c>
      <c r="D39" s="94"/>
      <c r="E39" s="652">
        <v>0</v>
      </c>
      <c r="F39" s="106">
        <v>0</v>
      </c>
      <c r="G39" s="106">
        <v>0</v>
      </c>
      <c r="H39" s="106">
        <v>0</v>
      </c>
      <c r="I39" s="106"/>
      <c r="J39" s="106"/>
    </row>
    <row r="40" spans="1:10" ht="18" customHeight="1" outlineLevel="1">
      <c r="A40" s="117" t="s">
        <v>658</v>
      </c>
      <c r="B40" s="122" t="s">
        <v>468</v>
      </c>
      <c r="C40" s="118" t="s">
        <v>400</v>
      </c>
      <c r="D40" s="94"/>
      <c r="E40" s="652">
        <v>0</v>
      </c>
      <c r="F40" s="106">
        <f>'Произв. р.'!N33+'Цеховые р.'!N29+Общехоз.р.!N29</f>
        <v>0</v>
      </c>
      <c r="G40" s="106">
        <v>0</v>
      </c>
      <c r="H40" s="106">
        <v>0</v>
      </c>
      <c r="I40" s="106"/>
      <c r="J40" s="106"/>
    </row>
    <row r="41" spans="1:10" ht="18" customHeight="1" outlineLevel="1">
      <c r="A41" s="117" t="s">
        <v>659</v>
      </c>
      <c r="B41" s="122" t="s">
        <v>616</v>
      </c>
      <c r="C41" s="118" t="s">
        <v>400</v>
      </c>
      <c r="D41" s="94"/>
      <c r="E41" s="652">
        <v>47.179562605418788</v>
      </c>
      <c r="F41" s="106">
        <v>84</v>
      </c>
      <c r="G41" s="106">
        <f>F41</f>
        <v>84</v>
      </c>
      <c r="H41" s="106">
        <f>G41</f>
        <v>84</v>
      </c>
      <c r="I41" s="106"/>
      <c r="J41" s="106"/>
    </row>
    <row r="42" spans="1:10" ht="18" customHeight="1">
      <c r="A42" s="117" t="s">
        <v>469</v>
      </c>
      <c r="B42" s="114" t="s">
        <v>470</v>
      </c>
      <c r="C42" s="118" t="s">
        <v>400</v>
      </c>
      <c r="D42" s="94"/>
      <c r="E42" s="652">
        <v>244.97779590313866</v>
      </c>
      <c r="F42" s="106">
        <v>787.31</v>
      </c>
      <c r="G42" s="106">
        <f>F42*G$12</f>
        <v>816.07043429999987</v>
      </c>
      <c r="H42" s="106">
        <f>G42*H$12</f>
        <v>846.26504036909978</v>
      </c>
      <c r="I42" s="106"/>
      <c r="J42" s="106"/>
    </row>
    <row r="43" spans="1:10" ht="18" customHeight="1">
      <c r="A43" s="117" t="s">
        <v>471</v>
      </c>
      <c r="B43" s="108" t="s">
        <v>472</v>
      </c>
      <c r="C43" s="118" t="s">
        <v>400</v>
      </c>
      <c r="D43" s="94"/>
      <c r="E43" s="652">
        <v>0</v>
      </c>
      <c r="F43" s="106">
        <f>П1.21.3!E19</f>
        <v>0</v>
      </c>
      <c r="G43" s="106">
        <v>0</v>
      </c>
      <c r="H43" s="106">
        <v>0</v>
      </c>
      <c r="I43" s="106"/>
      <c r="J43" s="106"/>
    </row>
    <row r="44" spans="1:10" ht="18" customHeight="1">
      <c r="A44" s="117" t="s">
        <v>473</v>
      </c>
      <c r="B44" s="108" t="s">
        <v>474</v>
      </c>
      <c r="C44" s="118" t="s">
        <v>400</v>
      </c>
      <c r="D44" s="94"/>
      <c r="E44" s="652">
        <v>0</v>
      </c>
      <c r="F44" s="111">
        <f>F30+F29+F26+F43</f>
        <v>0</v>
      </c>
      <c r="G44" s="106">
        <f>F44</f>
        <v>0</v>
      </c>
      <c r="H44" s="106">
        <f>G44</f>
        <v>0</v>
      </c>
      <c r="I44" s="106"/>
      <c r="J44" s="106"/>
    </row>
    <row r="45" spans="1:10" ht="18" customHeight="1">
      <c r="A45" s="117" t="s">
        <v>475</v>
      </c>
      <c r="B45" s="108" t="s">
        <v>476</v>
      </c>
      <c r="C45" s="118" t="s">
        <v>400</v>
      </c>
      <c r="D45" s="94"/>
      <c r="E45" s="652">
        <v>0</v>
      </c>
      <c r="F45" s="98">
        <v>0</v>
      </c>
      <c r="G45" s="106">
        <v>0</v>
      </c>
      <c r="H45" s="106">
        <v>0</v>
      </c>
      <c r="I45" s="106"/>
      <c r="J45" s="106"/>
    </row>
    <row r="46" spans="1:10" ht="18" customHeight="1">
      <c r="A46" s="117" t="s">
        <v>477</v>
      </c>
      <c r="B46" s="108" t="s">
        <v>478</v>
      </c>
      <c r="C46" s="118" t="s">
        <v>400</v>
      </c>
      <c r="D46" s="94"/>
      <c r="E46" s="652">
        <v>34.676400000000001</v>
      </c>
      <c r="F46" s="106">
        <v>0</v>
      </c>
      <c r="G46" s="106">
        <f t="shared" ref="G46:H47" si="5">F46</f>
        <v>0</v>
      </c>
      <c r="H46" s="106">
        <f t="shared" si="5"/>
        <v>0</v>
      </c>
      <c r="I46" s="106"/>
      <c r="J46" s="106"/>
    </row>
    <row r="47" spans="1:10" ht="18" customHeight="1">
      <c r="A47" s="117" t="s">
        <v>479</v>
      </c>
      <c r="B47" s="108" t="s">
        <v>480</v>
      </c>
      <c r="C47" s="118" t="s">
        <v>400</v>
      </c>
      <c r="D47" s="94"/>
      <c r="E47" s="652">
        <v>0</v>
      </c>
      <c r="F47" s="106">
        <f>П1.21.3!E11</f>
        <v>0</v>
      </c>
      <c r="G47" s="106">
        <f t="shared" si="5"/>
        <v>0</v>
      </c>
      <c r="H47" s="106">
        <f t="shared" si="5"/>
        <v>0</v>
      </c>
      <c r="I47" s="106"/>
      <c r="J47" s="106"/>
    </row>
    <row r="48" spans="1:10" ht="18" customHeight="1">
      <c r="A48" s="125" t="s">
        <v>660</v>
      </c>
      <c r="B48" s="109" t="s">
        <v>482</v>
      </c>
      <c r="C48" s="110" t="s">
        <v>400</v>
      </c>
      <c r="D48" s="94"/>
      <c r="E48" s="655">
        <v>1503.37</v>
      </c>
      <c r="F48" s="111">
        <f>F34+F36+F37+F43+F44+F45+F42+F35+F46+F47</f>
        <v>2467.31</v>
      </c>
      <c r="G48" s="111">
        <f>G34+G36+G37+G43+G44+G45+G42+G35+G46+G47</f>
        <v>2499.1389543</v>
      </c>
      <c r="H48" s="111">
        <f>H34+H36+H37+H43+H44+H45+H42+H35+H46+H47</f>
        <v>2532.5550956090997</v>
      </c>
      <c r="I48" s="111"/>
      <c r="J48" s="111"/>
    </row>
    <row r="49" spans="1:10" ht="18" customHeight="1">
      <c r="A49" s="258">
        <v>4</v>
      </c>
      <c r="B49" s="127" t="s">
        <v>483</v>
      </c>
      <c r="C49" s="110" t="s">
        <v>400</v>
      </c>
      <c r="D49" s="94"/>
      <c r="E49" s="655">
        <f>E32+E48</f>
        <v>4717.9608172380813</v>
      </c>
      <c r="F49" s="129">
        <f>F32+F48</f>
        <v>9957.17</v>
      </c>
      <c r="G49" s="129">
        <f>G32+G48</f>
        <v>10262.603540099999</v>
      </c>
      <c r="H49" s="129">
        <f>H32+H48</f>
        <v>10583.267871083699</v>
      </c>
      <c r="I49" s="139"/>
      <c r="J49" s="139"/>
    </row>
    <row r="50" spans="1:10" ht="28.5" customHeight="1">
      <c r="A50" s="130">
        <v>5</v>
      </c>
      <c r="B50" s="108" t="s">
        <v>484</v>
      </c>
      <c r="C50" s="118" t="s">
        <v>400</v>
      </c>
      <c r="D50" s="94"/>
      <c r="E50" s="656">
        <v>0</v>
      </c>
      <c r="F50" s="151">
        <v>0</v>
      </c>
      <c r="G50" s="151">
        <v>0</v>
      </c>
      <c r="H50" s="151">
        <v>0</v>
      </c>
      <c r="I50" s="151"/>
      <c r="J50" s="151"/>
    </row>
    <row r="51" spans="1:10" ht="27" customHeight="1">
      <c r="A51" s="130">
        <v>6</v>
      </c>
      <c r="B51" s="108" t="s">
        <v>485</v>
      </c>
      <c r="C51" s="118" t="s">
        <v>400</v>
      </c>
      <c r="D51" s="94"/>
      <c r="E51" s="655">
        <v>0</v>
      </c>
      <c r="F51" s="151">
        <v>0</v>
      </c>
      <c r="G51" s="151">
        <v>0</v>
      </c>
      <c r="H51" s="151">
        <v>0</v>
      </c>
      <c r="I51" s="151"/>
      <c r="J51" s="151"/>
    </row>
    <row r="52" spans="1:10" ht="18" customHeight="1">
      <c r="A52" s="258">
        <v>7</v>
      </c>
      <c r="B52" s="127" t="s">
        <v>486</v>
      </c>
      <c r="C52" s="110" t="s">
        <v>400</v>
      </c>
      <c r="D52" s="128"/>
      <c r="E52" s="665">
        <v>4717.96</v>
      </c>
      <c r="F52" s="129">
        <f>F49+F50+F51</f>
        <v>9957.17</v>
      </c>
      <c r="G52" s="129">
        <f>G49+G50+G51</f>
        <v>10262.603540099999</v>
      </c>
      <c r="H52" s="129">
        <f>H49+H50+H51</f>
        <v>10583.267871083699</v>
      </c>
      <c r="I52" s="129"/>
      <c r="J52" s="129"/>
    </row>
    <row r="53" spans="1:10" ht="29.25" customHeight="1">
      <c r="A53" s="132">
        <v>8</v>
      </c>
      <c r="B53" s="108" t="s">
        <v>654</v>
      </c>
      <c r="C53" s="118" t="s">
        <v>400</v>
      </c>
      <c r="D53" s="133"/>
      <c r="E53" s="651">
        <v>1642.71</v>
      </c>
      <c r="F53" s="98">
        <f>F59*F86</f>
        <v>1202.9000000000001</v>
      </c>
      <c r="G53" s="98">
        <f>G59*G86</f>
        <v>1202.9000000000001</v>
      </c>
      <c r="H53" s="98">
        <f>H59*H86</f>
        <v>1202.9000000000001</v>
      </c>
      <c r="I53" s="98"/>
      <c r="J53" s="98"/>
    </row>
    <row r="54" spans="1:10" ht="29.25" customHeight="1">
      <c r="A54" s="132">
        <v>9</v>
      </c>
      <c r="B54" s="108" t="s">
        <v>655</v>
      </c>
      <c r="C54" s="118"/>
      <c r="D54" s="133"/>
      <c r="E54" s="651"/>
      <c r="F54" s="98">
        <f>F52+F53</f>
        <v>11160.07</v>
      </c>
      <c r="G54" s="98">
        <f>G52+G53</f>
        <v>11465.503540099999</v>
      </c>
      <c r="H54" s="98">
        <f>H52+H53</f>
        <v>11786.167871083699</v>
      </c>
      <c r="I54" s="98"/>
      <c r="J54" s="98"/>
    </row>
    <row r="55" spans="1:10" ht="18" customHeight="1">
      <c r="A55" s="134">
        <v>10</v>
      </c>
      <c r="B55" s="135" t="s">
        <v>391</v>
      </c>
      <c r="C55" s="55"/>
      <c r="D55" s="131"/>
      <c r="E55" s="136"/>
      <c r="F55" s="136"/>
      <c r="G55" s="136"/>
      <c r="H55" s="148"/>
      <c r="I55" s="131"/>
      <c r="J55" s="131"/>
    </row>
    <row r="56" spans="1:10" ht="18" customHeight="1">
      <c r="A56" s="134">
        <v>11</v>
      </c>
      <c r="B56" s="137" t="s">
        <v>653</v>
      </c>
      <c r="C56" s="138" t="s">
        <v>393</v>
      </c>
      <c r="D56" s="139"/>
      <c r="E56" s="150"/>
      <c r="F56" s="150">
        <f>П1.4!J9</f>
        <v>8.5500000000000007</v>
      </c>
      <c r="G56" s="809">
        <f>F56</f>
        <v>8.5500000000000007</v>
      </c>
      <c r="H56" s="809">
        <f>G56</f>
        <v>8.5500000000000007</v>
      </c>
      <c r="I56" s="809"/>
      <c r="J56" s="809"/>
    </row>
    <row r="57" spans="1:10" ht="18" customHeight="1">
      <c r="A57" s="272" t="s">
        <v>662</v>
      </c>
      <c r="B57" s="137" t="s">
        <v>694</v>
      </c>
      <c r="C57" s="138" t="s">
        <v>393</v>
      </c>
      <c r="D57" s="139"/>
      <c r="E57" s="150"/>
      <c r="F57" s="150"/>
      <c r="G57" s="810"/>
      <c r="H57" s="810"/>
      <c r="I57" s="810"/>
      <c r="J57" s="810"/>
    </row>
    <row r="58" spans="1:10" ht="18" customHeight="1">
      <c r="A58" s="272" t="s">
        <v>661</v>
      </c>
      <c r="B58" s="137" t="s">
        <v>695</v>
      </c>
      <c r="C58" s="138" t="s">
        <v>393</v>
      </c>
      <c r="D58" s="139"/>
      <c r="E58" s="150"/>
      <c r="F58" s="150"/>
      <c r="G58" s="811"/>
      <c r="H58" s="811"/>
      <c r="I58" s="811"/>
      <c r="J58" s="811"/>
    </row>
    <row r="59" spans="1:10" ht="18" customHeight="1">
      <c r="A59" s="134">
        <f>A56+1</f>
        <v>12</v>
      </c>
      <c r="B59" s="140" t="s">
        <v>304</v>
      </c>
      <c r="C59" s="138" t="s">
        <v>393</v>
      </c>
      <c r="D59" s="139"/>
      <c r="E59" s="150"/>
      <c r="F59" s="150">
        <f>П1.4!J18</f>
        <v>0.52300000000000002</v>
      </c>
      <c r="G59" s="809">
        <f>F59</f>
        <v>0.52300000000000002</v>
      </c>
      <c r="H59" s="809">
        <f>G59</f>
        <v>0.52300000000000002</v>
      </c>
      <c r="I59" s="809"/>
      <c r="J59" s="809"/>
    </row>
    <row r="60" spans="1:10" ht="18" customHeight="1">
      <c r="A60" s="272" t="s">
        <v>305</v>
      </c>
      <c r="B60" s="137" t="s">
        <v>694</v>
      </c>
      <c r="C60" s="138" t="s">
        <v>393</v>
      </c>
      <c r="D60" s="139"/>
      <c r="E60" s="150"/>
      <c r="F60" s="150"/>
      <c r="G60" s="810"/>
      <c r="H60" s="810"/>
      <c r="I60" s="810"/>
      <c r="J60" s="810"/>
    </row>
    <row r="61" spans="1:10" ht="18" customHeight="1">
      <c r="A61" s="272" t="s">
        <v>306</v>
      </c>
      <c r="B61" s="137" t="s">
        <v>695</v>
      </c>
      <c r="C61" s="138" t="s">
        <v>393</v>
      </c>
      <c r="D61" s="139"/>
      <c r="E61" s="150"/>
      <c r="F61" s="150"/>
      <c r="G61" s="811"/>
      <c r="H61" s="811"/>
      <c r="I61" s="811"/>
      <c r="J61" s="811"/>
    </row>
    <row r="62" spans="1:10" ht="18" customHeight="1">
      <c r="A62" s="134">
        <f>A59+1</f>
        <v>13</v>
      </c>
      <c r="B62" s="141" t="s">
        <v>629</v>
      </c>
      <c r="C62" s="138" t="s">
        <v>393</v>
      </c>
      <c r="D62" s="139"/>
      <c r="E62" s="150"/>
      <c r="F62" s="150">
        <v>0</v>
      </c>
      <c r="G62" s="809">
        <f>F62</f>
        <v>0</v>
      </c>
      <c r="H62" s="809">
        <f>G62</f>
        <v>0</v>
      </c>
      <c r="I62" s="809"/>
      <c r="J62" s="809"/>
    </row>
    <row r="63" spans="1:10" ht="18" customHeight="1">
      <c r="A63" s="272" t="s">
        <v>159</v>
      </c>
      <c r="B63" s="137" t="s">
        <v>694</v>
      </c>
      <c r="C63" s="138" t="s">
        <v>393</v>
      </c>
      <c r="D63" s="139"/>
      <c r="E63" s="150"/>
      <c r="F63" s="150"/>
      <c r="G63" s="810"/>
      <c r="H63" s="810"/>
      <c r="I63" s="810"/>
      <c r="J63" s="810"/>
    </row>
    <row r="64" spans="1:10" ht="18" customHeight="1">
      <c r="A64" s="272" t="s">
        <v>167</v>
      </c>
      <c r="B64" s="137" t="s">
        <v>695</v>
      </c>
      <c r="C64" s="138" t="s">
        <v>393</v>
      </c>
      <c r="D64" s="139"/>
      <c r="E64" s="150"/>
      <c r="F64" s="150"/>
      <c r="G64" s="811"/>
      <c r="H64" s="811"/>
      <c r="I64" s="811"/>
      <c r="J64" s="811"/>
    </row>
    <row r="65" spans="1:10" ht="18" customHeight="1">
      <c r="A65" s="134">
        <f>A62+1</f>
        <v>14</v>
      </c>
      <c r="B65" s="137" t="s">
        <v>394</v>
      </c>
      <c r="C65" s="138" t="s">
        <v>393</v>
      </c>
      <c r="D65" s="139"/>
      <c r="E65" s="150"/>
      <c r="F65" s="150">
        <f>F56-F59</f>
        <v>8.027000000000001</v>
      </c>
      <c r="G65" s="809">
        <f>F65</f>
        <v>8.027000000000001</v>
      </c>
      <c r="H65" s="809">
        <f>G65</f>
        <v>8.027000000000001</v>
      </c>
      <c r="I65" s="809"/>
      <c r="J65" s="809"/>
    </row>
    <row r="66" spans="1:10" ht="18" customHeight="1">
      <c r="A66" s="272" t="s">
        <v>307</v>
      </c>
      <c r="B66" s="137" t="s">
        <v>694</v>
      </c>
      <c r="C66" s="138" t="s">
        <v>393</v>
      </c>
      <c r="D66" s="139"/>
      <c r="E66" s="150"/>
      <c r="F66" s="150"/>
      <c r="G66" s="810"/>
      <c r="H66" s="810"/>
      <c r="I66" s="810"/>
      <c r="J66" s="810"/>
    </row>
    <row r="67" spans="1:10" ht="18" customHeight="1">
      <c r="A67" s="272" t="s">
        <v>308</v>
      </c>
      <c r="B67" s="137" t="s">
        <v>695</v>
      </c>
      <c r="C67" s="138" t="s">
        <v>393</v>
      </c>
      <c r="D67" s="139"/>
      <c r="E67" s="150"/>
      <c r="F67" s="150"/>
      <c r="G67" s="811"/>
      <c r="H67" s="811"/>
      <c r="I67" s="811"/>
      <c r="J67" s="811"/>
    </row>
    <row r="68" spans="1:10" ht="18" customHeight="1">
      <c r="A68" s="134">
        <v>15</v>
      </c>
      <c r="B68" s="141" t="s">
        <v>627</v>
      </c>
      <c r="C68" s="138" t="s">
        <v>393</v>
      </c>
      <c r="D68" s="139"/>
      <c r="E68" s="150"/>
      <c r="F68" s="150">
        <f>П1.6!D16</f>
        <v>8.0030000000000019</v>
      </c>
      <c r="G68" s="809">
        <f>F68</f>
        <v>8.0030000000000019</v>
      </c>
      <c r="H68" s="809">
        <f>G68</f>
        <v>8.0030000000000019</v>
      </c>
      <c r="I68" s="809"/>
      <c r="J68" s="809"/>
    </row>
    <row r="69" spans="1:10" ht="18" customHeight="1">
      <c r="A69" s="272" t="s">
        <v>663</v>
      </c>
      <c r="B69" s="137" t="s">
        <v>694</v>
      </c>
      <c r="C69" s="138" t="s">
        <v>393</v>
      </c>
      <c r="D69" s="139"/>
      <c r="E69" s="150"/>
      <c r="F69" s="150"/>
      <c r="G69" s="810"/>
      <c r="H69" s="810"/>
      <c r="I69" s="810"/>
      <c r="J69" s="810"/>
    </row>
    <row r="70" spans="1:10" ht="18" customHeight="1">
      <c r="A70" s="272" t="s">
        <v>664</v>
      </c>
      <c r="B70" s="137" t="s">
        <v>695</v>
      </c>
      <c r="C70" s="138" t="s">
        <v>393</v>
      </c>
      <c r="D70" s="139"/>
      <c r="E70" s="150"/>
      <c r="F70" s="150"/>
      <c r="G70" s="811"/>
      <c r="H70" s="811"/>
      <c r="I70" s="811"/>
      <c r="J70" s="811"/>
    </row>
    <row r="71" spans="1:10" ht="18" customHeight="1">
      <c r="A71" s="134">
        <f>A68+1</f>
        <v>16</v>
      </c>
      <c r="B71" s="137" t="s">
        <v>395</v>
      </c>
      <c r="C71" s="138" t="s">
        <v>301</v>
      </c>
      <c r="D71" s="139"/>
      <c r="E71" s="150"/>
      <c r="F71" s="150">
        <f>П1.5!J9</f>
        <v>1.7450000000000001</v>
      </c>
      <c r="G71" s="809">
        <f>F71</f>
        <v>1.7450000000000001</v>
      </c>
      <c r="H71" s="809">
        <f>G71</f>
        <v>1.7450000000000001</v>
      </c>
      <c r="I71" s="809"/>
      <c r="J71" s="809"/>
    </row>
    <row r="72" spans="1:10" ht="18" customHeight="1">
      <c r="A72" s="272" t="s">
        <v>665</v>
      </c>
      <c r="B72" s="137" t="s">
        <v>694</v>
      </c>
      <c r="C72" s="138" t="s">
        <v>301</v>
      </c>
      <c r="D72" s="139"/>
      <c r="E72" s="150"/>
      <c r="F72" s="150"/>
      <c r="G72" s="810"/>
      <c r="H72" s="810"/>
      <c r="I72" s="810"/>
      <c r="J72" s="810"/>
    </row>
    <row r="73" spans="1:10" ht="18" customHeight="1">
      <c r="A73" s="272" t="s">
        <v>666</v>
      </c>
      <c r="B73" s="137" t="s">
        <v>695</v>
      </c>
      <c r="C73" s="138" t="s">
        <v>301</v>
      </c>
      <c r="D73" s="139"/>
      <c r="E73" s="150"/>
      <c r="F73" s="150"/>
      <c r="G73" s="811"/>
      <c r="H73" s="811"/>
      <c r="I73" s="811"/>
      <c r="J73" s="811"/>
    </row>
    <row r="74" spans="1:10" ht="18" customHeight="1">
      <c r="A74" s="134">
        <f>A71+1</f>
        <v>17</v>
      </c>
      <c r="B74" s="137" t="s">
        <v>396</v>
      </c>
      <c r="C74" s="138" t="s">
        <v>301</v>
      </c>
      <c r="D74" s="131"/>
      <c r="E74" s="150"/>
      <c r="F74" s="150">
        <f>П1.5!J14</f>
        <v>0.106794</v>
      </c>
      <c r="G74" s="809">
        <f>F74</f>
        <v>0.106794</v>
      </c>
      <c r="H74" s="809">
        <f>G74</f>
        <v>0.106794</v>
      </c>
      <c r="I74" s="809"/>
      <c r="J74" s="809"/>
    </row>
    <row r="75" spans="1:10" ht="18" customHeight="1">
      <c r="A75" s="272" t="s">
        <v>667</v>
      </c>
      <c r="B75" s="137" t="s">
        <v>694</v>
      </c>
      <c r="C75" s="138" t="s">
        <v>301</v>
      </c>
      <c r="D75" s="131"/>
      <c r="E75" s="150"/>
      <c r="F75" s="150"/>
      <c r="G75" s="810"/>
      <c r="H75" s="810"/>
      <c r="I75" s="810"/>
      <c r="J75" s="810"/>
    </row>
    <row r="76" spans="1:10" ht="18" customHeight="1">
      <c r="A76" s="272" t="s">
        <v>668</v>
      </c>
      <c r="B76" s="137" t="s">
        <v>695</v>
      </c>
      <c r="C76" s="138" t="s">
        <v>301</v>
      </c>
      <c r="D76" s="131"/>
      <c r="E76" s="150"/>
      <c r="F76" s="150"/>
      <c r="G76" s="811"/>
      <c r="H76" s="811"/>
      <c r="I76" s="811"/>
      <c r="J76" s="811"/>
    </row>
    <row r="77" spans="1:10" ht="18" customHeight="1">
      <c r="A77" s="134">
        <f>A74+1</f>
        <v>18</v>
      </c>
      <c r="B77" s="141" t="s">
        <v>628</v>
      </c>
      <c r="C77" s="138" t="s">
        <v>301</v>
      </c>
      <c r="D77" s="131"/>
      <c r="E77" s="150"/>
      <c r="F77" s="150">
        <v>0</v>
      </c>
      <c r="G77" s="809">
        <f>F77</f>
        <v>0</v>
      </c>
      <c r="H77" s="809">
        <f>G77</f>
        <v>0</v>
      </c>
      <c r="I77" s="809"/>
      <c r="J77" s="809"/>
    </row>
    <row r="78" spans="1:10" ht="18" customHeight="1">
      <c r="A78" s="272" t="s">
        <v>669</v>
      </c>
      <c r="B78" s="137" t="s">
        <v>694</v>
      </c>
      <c r="C78" s="138" t="s">
        <v>301</v>
      </c>
      <c r="D78" s="131"/>
      <c r="E78" s="150"/>
      <c r="F78" s="150"/>
      <c r="G78" s="810"/>
      <c r="H78" s="810"/>
      <c r="I78" s="810"/>
      <c r="J78" s="810"/>
    </row>
    <row r="79" spans="1:10" ht="18" customHeight="1">
      <c r="A79" s="272" t="s">
        <v>670</v>
      </c>
      <c r="B79" s="137" t="s">
        <v>695</v>
      </c>
      <c r="C79" s="138" t="s">
        <v>301</v>
      </c>
      <c r="D79" s="131"/>
      <c r="E79" s="150"/>
      <c r="F79" s="150"/>
      <c r="G79" s="811"/>
      <c r="H79" s="811"/>
      <c r="I79" s="811"/>
      <c r="J79" s="811"/>
    </row>
    <row r="80" spans="1:10" ht="18" customHeight="1">
      <c r="A80" s="134">
        <f>A77+1</f>
        <v>19</v>
      </c>
      <c r="B80" s="137" t="s">
        <v>397</v>
      </c>
      <c r="C80" s="138" t="s">
        <v>301</v>
      </c>
      <c r="D80" s="128"/>
      <c r="E80" s="136"/>
      <c r="F80" s="150">
        <f>F71-F74</f>
        <v>1.6382060000000001</v>
      </c>
      <c r="G80" s="809">
        <f>F80</f>
        <v>1.6382060000000001</v>
      </c>
      <c r="H80" s="809">
        <f>G80</f>
        <v>1.6382060000000001</v>
      </c>
      <c r="I80" s="809"/>
      <c r="J80" s="809"/>
    </row>
    <row r="81" spans="1:10" ht="18" customHeight="1">
      <c r="A81" s="272" t="s">
        <v>309</v>
      </c>
      <c r="B81" s="137" t="s">
        <v>694</v>
      </c>
      <c r="C81" s="138" t="s">
        <v>301</v>
      </c>
      <c r="D81" s="273"/>
      <c r="E81" s="136"/>
      <c r="F81" s="150"/>
      <c r="G81" s="810"/>
      <c r="H81" s="810"/>
      <c r="I81" s="810"/>
      <c r="J81" s="810"/>
    </row>
    <row r="82" spans="1:10" ht="18" customHeight="1">
      <c r="A82" s="272" t="s">
        <v>310</v>
      </c>
      <c r="B82" s="137" t="s">
        <v>695</v>
      </c>
      <c r="C82" s="138" t="s">
        <v>301</v>
      </c>
      <c r="D82" s="273"/>
      <c r="E82" s="136"/>
      <c r="F82" s="150"/>
      <c r="G82" s="811"/>
      <c r="H82" s="811"/>
      <c r="I82" s="811"/>
      <c r="J82" s="811"/>
    </row>
    <row r="83" spans="1:10" ht="18" customHeight="1">
      <c r="A83" s="134">
        <f>A80+1</f>
        <v>20</v>
      </c>
      <c r="B83" s="141" t="s">
        <v>398</v>
      </c>
      <c r="C83" s="138" t="s">
        <v>301</v>
      </c>
      <c r="E83" s="136"/>
      <c r="F83" s="259">
        <f>П1.6!I16</f>
        <v>1.6382060000000001</v>
      </c>
      <c r="G83" s="809">
        <f>F83</f>
        <v>1.6382060000000001</v>
      </c>
      <c r="H83" s="809">
        <f>G83</f>
        <v>1.6382060000000001</v>
      </c>
      <c r="I83" s="809"/>
      <c r="J83" s="809"/>
    </row>
    <row r="84" spans="1:10" ht="18" customHeight="1">
      <c r="A84" s="272" t="s">
        <v>671</v>
      </c>
      <c r="B84" s="137" t="s">
        <v>694</v>
      </c>
      <c r="C84" s="138" t="s">
        <v>301</v>
      </c>
      <c r="E84" s="136"/>
      <c r="F84" s="259"/>
      <c r="G84" s="810"/>
      <c r="H84" s="810"/>
      <c r="I84" s="810"/>
      <c r="J84" s="810"/>
    </row>
    <row r="85" spans="1:10" ht="18" customHeight="1">
      <c r="A85" s="272" t="s">
        <v>672</v>
      </c>
      <c r="B85" s="137" t="s">
        <v>695</v>
      </c>
      <c r="C85" s="138" t="s">
        <v>301</v>
      </c>
      <c r="E85" s="136"/>
      <c r="F85" s="259"/>
      <c r="G85" s="811"/>
      <c r="H85" s="811"/>
      <c r="I85" s="811"/>
      <c r="J85" s="811"/>
    </row>
    <row r="86" spans="1:10" ht="18" customHeight="1">
      <c r="A86" s="126">
        <f>A83+1</f>
        <v>21</v>
      </c>
      <c r="B86" s="137" t="s">
        <v>402</v>
      </c>
      <c r="C86" s="138" t="s">
        <v>403</v>
      </c>
      <c r="D86" s="131"/>
      <c r="E86" s="666">
        <v>2680.79</v>
      </c>
      <c r="F86" s="274">
        <v>2300</v>
      </c>
      <c r="G86" s="274">
        <v>2300</v>
      </c>
      <c r="H86" s="274">
        <v>2300</v>
      </c>
      <c r="I86" s="274"/>
      <c r="J86" s="274"/>
    </row>
    <row r="87" spans="1:10" ht="18" customHeight="1">
      <c r="A87" s="126">
        <f>A86+1</f>
        <v>22</v>
      </c>
      <c r="B87" s="142" t="s">
        <v>404</v>
      </c>
      <c r="C87" s="143" t="s">
        <v>488</v>
      </c>
      <c r="D87" s="144"/>
      <c r="E87" s="145">
        <v>213260.15</v>
      </c>
      <c r="F87" s="669">
        <v>506508.09</v>
      </c>
      <c r="G87" s="145">
        <f>G52/G80/12*1000</f>
        <v>522044.8232243075</v>
      </c>
      <c r="H87" s="145">
        <f>H52/H80/12*1000</f>
        <v>538356.58595864929</v>
      </c>
      <c r="I87" s="145"/>
      <c r="J87" s="145"/>
    </row>
    <row r="88" spans="1:10" ht="27" customHeight="1">
      <c r="A88" s="126">
        <f>A87+1</f>
        <v>23</v>
      </c>
      <c r="B88" s="142" t="s">
        <v>405</v>
      </c>
      <c r="C88" s="143" t="s">
        <v>406</v>
      </c>
      <c r="D88" s="144"/>
      <c r="E88" s="145">
        <v>181.86</v>
      </c>
      <c r="F88" s="145">
        <f>F86*F59/F65</f>
        <v>149.85673352435529</v>
      </c>
      <c r="G88" s="145">
        <f>G86*G59/G65</f>
        <v>149.85673352435529</v>
      </c>
      <c r="H88" s="145">
        <f>H86*H59/H65</f>
        <v>149.85673352435529</v>
      </c>
      <c r="I88" s="145"/>
      <c r="J88" s="145"/>
    </row>
    <row r="89" spans="1:10" ht="18" customHeight="1">
      <c r="A89" s="126">
        <f>A88+1</f>
        <v>24</v>
      </c>
      <c r="B89" s="142" t="s">
        <v>407</v>
      </c>
      <c r="C89" s="143" t="s">
        <v>406</v>
      </c>
      <c r="D89" s="144"/>
      <c r="E89" s="145">
        <v>704.16</v>
      </c>
      <c r="F89" s="145">
        <f>(F87*F80*12/F65/1000+F88)</f>
        <v>1390.3170680252249</v>
      </c>
      <c r="G89" s="145">
        <f>(G87*G80*12/G65/1000+G88)</f>
        <v>1428.3672032016939</v>
      </c>
      <c r="H89" s="145">
        <f>(H87*H80*12/H65/1000+H88)</f>
        <v>1468.3154193451724</v>
      </c>
      <c r="I89" s="145"/>
      <c r="J89" s="145"/>
    </row>
    <row r="90" spans="1:10" ht="18" customHeight="1">
      <c r="B90" s="149"/>
    </row>
    <row r="91" spans="1:10" ht="18" customHeight="1">
      <c r="B91" s="146"/>
      <c r="D91" s="149" t="s">
        <v>642</v>
      </c>
      <c r="E91" s="149"/>
      <c r="F91" s="270">
        <f>F32/1000</f>
        <v>7.4898599999999993</v>
      </c>
      <c r="G91" s="147"/>
      <c r="H91" s="147"/>
    </row>
    <row r="92" spans="1:10" ht="18" customHeight="1">
      <c r="D92" s="149"/>
      <c r="E92" s="268"/>
      <c r="F92" s="269"/>
    </row>
    <row r="93" spans="1:10" ht="18" customHeight="1">
      <c r="D93" s="149" t="s">
        <v>643</v>
      </c>
      <c r="E93" s="149"/>
      <c r="F93" s="269">
        <f>F59/F56*100</f>
        <v>6.1169590643274852</v>
      </c>
    </row>
    <row r="94" spans="1:10" ht="18" customHeight="1"/>
    <row r="95" spans="1:10" ht="18" customHeight="1"/>
    <row r="96" spans="1:10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</sheetData>
  <mergeCells count="47">
    <mergeCell ref="G83:G85"/>
    <mergeCell ref="H83:H85"/>
    <mergeCell ref="I83:I85"/>
    <mergeCell ref="J83:J85"/>
    <mergeCell ref="G80:G82"/>
    <mergeCell ref="H80:H82"/>
    <mergeCell ref="I80:I82"/>
    <mergeCell ref="J80:J82"/>
    <mergeCell ref="G77:G79"/>
    <mergeCell ref="H77:H79"/>
    <mergeCell ref="I77:I79"/>
    <mergeCell ref="J77:J79"/>
    <mergeCell ref="G74:G76"/>
    <mergeCell ref="H74:H76"/>
    <mergeCell ref="I74:I76"/>
    <mergeCell ref="J74:J76"/>
    <mergeCell ref="G71:G73"/>
    <mergeCell ref="H71:H73"/>
    <mergeCell ref="I71:I73"/>
    <mergeCell ref="J71:J73"/>
    <mergeCell ref="G68:G70"/>
    <mergeCell ref="H68:H70"/>
    <mergeCell ref="I68:I70"/>
    <mergeCell ref="J68:J70"/>
    <mergeCell ref="G65:G67"/>
    <mergeCell ref="H65:H67"/>
    <mergeCell ref="I65:I67"/>
    <mergeCell ref="J65:J67"/>
    <mergeCell ref="G62:G64"/>
    <mergeCell ref="H62:H64"/>
    <mergeCell ref="I62:I64"/>
    <mergeCell ref="J62:J64"/>
    <mergeCell ref="G59:G61"/>
    <mergeCell ref="H59:H61"/>
    <mergeCell ref="I59:I61"/>
    <mergeCell ref="J59:J61"/>
    <mergeCell ref="B4:B5"/>
    <mergeCell ref="A2:J2"/>
    <mergeCell ref="G56:G58"/>
    <mergeCell ref="H56:H58"/>
    <mergeCell ref="I56:I58"/>
    <mergeCell ref="J56:J58"/>
    <mergeCell ref="F4:J4"/>
    <mergeCell ref="E4:E5"/>
    <mergeCell ref="D4:D5"/>
    <mergeCell ref="C4:C5"/>
    <mergeCell ref="A4:A5"/>
  </mergeCells>
  <phoneticPr fontId="23" type="noConversion"/>
  <dataValidations count="1">
    <dataValidation type="decimal" allowBlank="1" showInputMessage="1" showErrorMessage="1" error="Ввведеное значение неверно" sqref="D7 E11:J11 E7:J8 D20:E20 G20:J20 F32">
      <formula1>-1000000000000000</formula1>
      <formula2>1000000000000000</formula2>
    </dataValidation>
  </dataValidations>
  <printOptions horizontalCentered="1"/>
  <pageMargins left="0.9055118110236221" right="0.31496062992125984" top="0.74803149606299213" bottom="0.74803149606299213" header="0.31496062992125984" footer="0.31496062992125984"/>
  <pageSetup paperSize="9" scale="50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A17" sqref="A17"/>
    </sheetView>
  </sheetViews>
  <sheetFormatPr defaultRowHeight="12.75"/>
  <sheetData>
    <row r="1" spans="1:5">
      <c r="A1" t="s">
        <v>713</v>
      </c>
    </row>
    <row r="3" spans="1:5">
      <c r="A3" t="s">
        <v>714</v>
      </c>
      <c r="E3" t="s">
        <v>725</v>
      </c>
    </row>
    <row r="4" spans="1:5">
      <c r="A4" t="s">
        <v>716</v>
      </c>
      <c r="E4" t="s">
        <v>712</v>
      </c>
    </row>
    <row r="5" spans="1:5">
      <c r="A5" t="s">
        <v>715</v>
      </c>
      <c r="E5">
        <v>24</v>
      </c>
    </row>
    <row r="6" spans="1:5">
      <c r="A6" t="s">
        <v>717</v>
      </c>
      <c r="E6">
        <v>30</v>
      </c>
    </row>
    <row r="7" spans="1:5">
      <c r="A7" t="s">
        <v>731</v>
      </c>
      <c r="E7">
        <v>12</v>
      </c>
    </row>
    <row r="8" spans="1:5">
      <c r="A8" t="s">
        <v>719</v>
      </c>
      <c r="E8">
        <v>24</v>
      </c>
    </row>
    <row r="9" spans="1:5">
      <c r="A9" t="s">
        <v>720</v>
      </c>
      <c r="E9">
        <v>40</v>
      </c>
    </row>
    <row r="10" spans="1:5">
      <c r="A10" t="s">
        <v>721</v>
      </c>
      <c r="E10">
        <v>252</v>
      </c>
    </row>
    <row r="11" spans="1:5">
      <c r="A11" t="s">
        <v>722</v>
      </c>
      <c r="E11">
        <v>12</v>
      </c>
    </row>
    <row r="12" spans="1:5">
      <c r="A12" t="s">
        <v>723</v>
      </c>
      <c r="E12">
        <v>160</v>
      </c>
    </row>
    <row r="13" spans="1:5">
      <c r="A13" t="s">
        <v>724</v>
      </c>
      <c r="E13">
        <v>72</v>
      </c>
    </row>
    <row r="14" spans="1:5">
      <c r="A14" t="s">
        <v>726</v>
      </c>
      <c r="E14">
        <v>12</v>
      </c>
    </row>
    <row r="15" spans="1:5">
      <c r="A15" t="s">
        <v>727</v>
      </c>
      <c r="E15">
        <v>80</v>
      </c>
    </row>
    <row r="16" spans="1:5">
      <c r="A16" t="s">
        <v>728</v>
      </c>
      <c r="E16">
        <v>80</v>
      </c>
    </row>
    <row r="17" spans="1:5">
      <c r="A17" t="s">
        <v>729</v>
      </c>
      <c r="E17">
        <v>92</v>
      </c>
    </row>
    <row r="18" spans="1:5">
      <c r="A18" t="s">
        <v>730</v>
      </c>
      <c r="E18">
        <v>80</v>
      </c>
    </row>
    <row r="19" spans="1:5">
      <c r="A19" t="s">
        <v>732</v>
      </c>
      <c r="E19">
        <v>12</v>
      </c>
    </row>
    <row r="20" spans="1:5">
      <c r="A20" t="s">
        <v>741</v>
      </c>
      <c r="E20">
        <v>50</v>
      </c>
    </row>
    <row r="21" spans="1:5">
      <c r="A21" t="s">
        <v>409</v>
      </c>
      <c r="E21">
        <f>SUM(E5:E20)</f>
        <v>1032</v>
      </c>
    </row>
    <row r="24" spans="1:5">
      <c r="A24" t="s">
        <v>733</v>
      </c>
      <c r="E24" t="s">
        <v>725</v>
      </c>
    </row>
    <row r="25" spans="1:5">
      <c r="A25" t="s">
        <v>716</v>
      </c>
      <c r="E25" t="s">
        <v>712</v>
      </c>
    </row>
    <row r="26" spans="1:5">
      <c r="A26" t="s">
        <v>718</v>
      </c>
      <c r="E26">
        <v>480</v>
      </c>
    </row>
    <row r="28" spans="1:5">
      <c r="A28" t="s">
        <v>409</v>
      </c>
      <c r="E28">
        <f>SUM(E26)</f>
        <v>480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37"/>
  <sheetViews>
    <sheetView workbookViewId="0">
      <selection activeCell="C22" sqref="C22"/>
    </sheetView>
  </sheetViews>
  <sheetFormatPr defaultRowHeight="12.75"/>
  <cols>
    <col min="1" max="1" width="57.140625" bestFit="1" customWidth="1"/>
    <col min="5" max="5" width="10.140625" bestFit="1" customWidth="1"/>
  </cols>
  <sheetData>
    <row r="2" spans="1:6" ht="13.5" thickBot="1">
      <c r="A2" t="s">
        <v>798</v>
      </c>
    </row>
    <row r="3" spans="1:6" ht="13.5" thickBot="1">
      <c r="A3" s="626" t="s">
        <v>795</v>
      </c>
      <c r="B3" s="627" t="s">
        <v>359</v>
      </c>
      <c r="C3" s="627" t="s">
        <v>796</v>
      </c>
      <c r="D3" s="627" t="s">
        <v>601</v>
      </c>
      <c r="E3" s="628" t="s">
        <v>602</v>
      </c>
    </row>
    <row r="4" spans="1:6" s="451" customFormat="1">
      <c r="A4" s="622" t="s">
        <v>742</v>
      </c>
      <c r="B4" s="623" t="s">
        <v>28</v>
      </c>
      <c r="C4" s="623">
        <v>12</v>
      </c>
      <c r="D4" s="624">
        <v>744</v>
      </c>
      <c r="E4" s="625">
        <f t="shared" ref="E4:E22" si="0">D4*C4</f>
        <v>8928</v>
      </c>
      <c r="F4" s="463"/>
    </row>
    <row r="5" spans="1:6" s="451" customFormat="1">
      <c r="A5" s="605" t="s">
        <v>743</v>
      </c>
      <c r="B5" s="606" t="s">
        <v>28</v>
      </c>
      <c r="C5" s="606">
        <v>12</v>
      </c>
      <c r="D5" s="607">
        <v>623</v>
      </c>
      <c r="E5" s="614">
        <f t="shared" si="0"/>
        <v>7476</v>
      </c>
      <c r="F5" s="463"/>
    </row>
    <row r="6" spans="1:6" s="451" customFormat="1">
      <c r="A6" s="605" t="s">
        <v>744</v>
      </c>
      <c r="B6" s="606" t="s">
        <v>28</v>
      </c>
      <c r="C6" s="606">
        <v>24</v>
      </c>
      <c r="D6" s="607">
        <v>290</v>
      </c>
      <c r="E6" s="614">
        <f t="shared" si="0"/>
        <v>6960</v>
      </c>
      <c r="F6" s="463"/>
    </row>
    <row r="7" spans="1:6" s="451" customFormat="1">
      <c r="A7" s="608" t="s">
        <v>745</v>
      </c>
      <c r="B7" s="606" t="s">
        <v>28</v>
      </c>
      <c r="C7" s="606">
        <v>12</v>
      </c>
      <c r="D7" s="607">
        <v>2900</v>
      </c>
      <c r="E7" s="614">
        <f t="shared" si="0"/>
        <v>34800</v>
      </c>
      <c r="F7" s="463"/>
    </row>
    <row r="8" spans="1:6" s="451" customFormat="1">
      <c r="A8" s="608" t="s">
        <v>746</v>
      </c>
      <c r="B8" s="606" t="s">
        <v>28</v>
      </c>
      <c r="C8" s="606">
        <v>12</v>
      </c>
      <c r="D8" s="607">
        <v>2186.54</v>
      </c>
      <c r="E8" s="614">
        <f t="shared" si="0"/>
        <v>26238.48</v>
      </c>
      <c r="F8" s="463"/>
    </row>
    <row r="9" spans="1:6" s="451" customFormat="1">
      <c r="A9" s="608" t="s">
        <v>747</v>
      </c>
      <c r="B9" s="606" t="s">
        <v>28</v>
      </c>
      <c r="C9" s="606">
        <v>2</v>
      </c>
      <c r="D9" s="607">
        <v>2756</v>
      </c>
      <c r="E9" s="614">
        <f t="shared" si="0"/>
        <v>5512</v>
      </c>
      <c r="F9" s="463"/>
    </row>
    <row r="10" spans="1:6" s="451" customFormat="1">
      <c r="A10" s="608" t="s">
        <v>748</v>
      </c>
      <c r="B10" s="606" t="s">
        <v>28</v>
      </c>
      <c r="C10" s="606">
        <v>23</v>
      </c>
      <c r="D10" s="607">
        <v>4600</v>
      </c>
      <c r="E10" s="614">
        <f t="shared" si="0"/>
        <v>105800</v>
      </c>
      <c r="F10" s="463"/>
    </row>
    <row r="11" spans="1:6" s="451" customFormat="1">
      <c r="A11" s="608" t="s">
        <v>749</v>
      </c>
      <c r="B11" s="606" t="s">
        <v>28</v>
      </c>
      <c r="C11" s="606">
        <v>11</v>
      </c>
      <c r="D11" s="607">
        <v>159</v>
      </c>
      <c r="E11" s="614">
        <f t="shared" si="0"/>
        <v>1749</v>
      </c>
      <c r="F11" s="463"/>
    </row>
    <row r="12" spans="1:6" s="451" customFormat="1">
      <c r="A12" s="608" t="s">
        <v>750</v>
      </c>
      <c r="B12" s="606" t="s">
        <v>28</v>
      </c>
      <c r="C12" s="606">
        <v>1</v>
      </c>
      <c r="D12" s="607">
        <v>3366</v>
      </c>
      <c r="E12" s="614">
        <f t="shared" si="0"/>
        <v>3366</v>
      </c>
      <c r="F12" s="463"/>
    </row>
    <row r="13" spans="1:6" s="451" customFormat="1">
      <c r="A13" s="608" t="s">
        <v>751</v>
      </c>
      <c r="B13" s="606" t="s">
        <v>28</v>
      </c>
      <c r="C13" s="606">
        <v>1</v>
      </c>
      <c r="D13" s="607">
        <v>3300</v>
      </c>
      <c r="E13" s="614">
        <f t="shared" si="0"/>
        <v>3300</v>
      </c>
      <c r="F13" s="463"/>
    </row>
    <row r="14" spans="1:6" s="451" customFormat="1">
      <c r="A14" s="608" t="s">
        <v>752</v>
      </c>
      <c r="B14" s="606" t="s">
        <v>28</v>
      </c>
      <c r="C14" s="606">
        <v>2</v>
      </c>
      <c r="D14" s="607">
        <v>1133</v>
      </c>
      <c r="E14" s="614">
        <f t="shared" si="0"/>
        <v>2266</v>
      </c>
      <c r="F14" s="463"/>
    </row>
    <row r="15" spans="1:6" s="451" customFormat="1">
      <c r="A15" s="609" t="s">
        <v>753</v>
      </c>
      <c r="B15" s="606" t="s">
        <v>28</v>
      </c>
      <c r="C15" s="606">
        <v>5</v>
      </c>
      <c r="D15" s="607">
        <v>2245</v>
      </c>
      <c r="E15" s="614">
        <f t="shared" si="0"/>
        <v>11225</v>
      </c>
      <c r="F15" s="463"/>
    </row>
    <row r="16" spans="1:6" s="451" customFormat="1">
      <c r="A16" s="610" t="s">
        <v>754</v>
      </c>
      <c r="B16" s="606" t="s">
        <v>755</v>
      </c>
      <c r="C16" s="606">
        <v>1</v>
      </c>
      <c r="D16" s="607">
        <v>2000</v>
      </c>
      <c r="E16" s="614">
        <f t="shared" si="0"/>
        <v>2000</v>
      </c>
      <c r="F16" s="463"/>
    </row>
    <row r="17" spans="1:6" s="451" customFormat="1">
      <c r="A17" s="608" t="s">
        <v>758</v>
      </c>
      <c r="B17" s="606" t="s">
        <v>28</v>
      </c>
      <c r="C17" s="606">
        <v>5</v>
      </c>
      <c r="D17" s="607">
        <v>100</v>
      </c>
      <c r="E17" s="614">
        <f t="shared" si="0"/>
        <v>500</v>
      </c>
      <c r="F17" s="463"/>
    </row>
    <row r="18" spans="1:6" s="451" customFormat="1">
      <c r="A18" s="608" t="s">
        <v>759</v>
      </c>
      <c r="B18" s="606" t="s">
        <v>28</v>
      </c>
      <c r="C18" s="606">
        <v>2</v>
      </c>
      <c r="D18" s="607">
        <v>300</v>
      </c>
      <c r="E18" s="614">
        <f t="shared" si="0"/>
        <v>600</v>
      </c>
      <c r="F18" s="463"/>
    </row>
    <row r="19" spans="1:6" s="451" customFormat="1">
      <c r="A19" s="608" t="s">
        <v>760</v>
      </c>
      <c r="B19" s="606" t="s">
        <v>28</v>
      </c>
      <c r="C19" s="606">
        <v>2</v>
      </c>
      <c r="D19" s="607">
        <v>240</v>
      </c>
      <c r="E19" s="614">
        <f t="shared" si="0"/>
        <v>480</v>
      </c>
      <c r="F19" s="463"/>
    </row>
    <row r="20" spans="1:6" s="451" customFormat="1">
      <c r="A20" s="608" t="s">
        <v>761</v>
      </c>
      <c r="B20" s="606" t="s">
        <v>28</v>
      </c>
      <c r="C20" s="606">
        <v>2</v>
      </c>
      <c r="D20" s="607">
        <v>960</v>
      </c>
      <c r="E20" s="614">
        <f t="shared" si="0"/>
        <v>1920</v>
      </c>
      <c r="F20" s="463"/>
    </row>
    <row r="21" spans="1:6" s="451" customFormat="1">
      <c r="A21" s="608" t="s">
        <v>762</v>
      </c>
      <c r="B21" s="606" t="s">
        <v>28</v>
      </c>
      <c r="C21" s="606">
        <v>1</v>
      </c>
      <c r="D21" s="607">
        <v>1200</v>
      </c>
      <c r="E21" s="614">
        <f t="shared" si="0"/>
        <v>1200</v>
      </c>
      <c r="F21" s="463"/>
    </row>
    <row r="22" spans="1:6" s="451" customFormat="1" ht="13.5" thickBot="1">
      <c r="A22" s="630" t="s">
        <v>763</v>
      </c>
      <c r="B22" s="631" t="s">
        <v>28</v>
      </c>
      <c r="C22" s="617">
        <v>24</v>
      </c>
      <c r="D22" s="618">
        <v>600</v>
      </c>
      <c r="E22" s="619">
        <f t="shared" si="0"/>
        <v>14400</v>
      </c>
      <c r="F22" s="463"/>
    </row>
    <row r="23" spans="1:6">
      <c r="A23" s="632"/>
      <c r="B23" s="633"/>
      <c r="C23" s="633"/>
      <c r="D23" s="633"/>
      <c r="E23" s="634"/>
    </row>
    <row r="24" spans="1:6" ht="13.5" thickBot="1">
      <c r="A24" s="635" t="s">
        <v>797</v>
      </c>
      <c r="B24" s="636"/>
      <c r="C24" s="636"/>
      <c r="D24" s="636"/>
      <c r="E24" s="637">
        <f>SUM(E4:E22)</f>
        <v>238720.47999999998</v>
      </c>
    </row>
    <row r="27" spans="1:6" ht="13.5" thickBot="1">
      <c r="A27" t="s">
        <v>799</v>
      </c>
    </row>
    <row r="28" spans="1:6" ht="13.5" thickBot="1">
      <c r="A28" s="638" t="s">
        <v>280</v>
      </c>
      <c r="B28" s="639" t="s">
        <v>359</v>
      </c>
      <c r="C28" s="639" t="s">
        <v>796</v>
      </c>
      <c r="D28" s="639" t="s">
        <v>601</v>
      </c>
      <c r="E28" s="640" t="s">
        <v>602</v>
      </c>
    </row>
    <row r="29" spans="1:6" ht="13.5" thickBot="1">
      <c r="A29" s="641" t="s">
        <v>800</v>
      </c>
      <c r="B29" s="641" t="s">
        <v>801</v>
      </c>
      <c r="C29" s="641">
        <v>5</v>
      </c>
      <c r="D29" s="641">
        <v>2000</v>
      </c>
      <c r="E29" s="641">
        <f>C29*D29</f>
        <v>10000</v>
      </c>
    </row>
    <row r="30" spans="1:6">
      <c r="A30" s="632"/>
      <c r="B30" s="633"/>
      <c r="C30" s="633"/>
      <c r="D30" s="633"/>
      <c r="E30" s="634"/>
    </row>
    <row r="31" spans="1:6" ht="13.5" thickBot="1">
      <c r="A31" s="635" t="s">
        <v>64</v>
      </c>
      <c r="B31" s="636"/>
      <c r="C31" s="636"/>
      <c r="D31" s="636"/>
      <c r="E31" s="642">
        <f>E29</f>
        <v>10000</v>
      </c>
    </row>
    <row r="36" spans="1:6">
      <c r="A36" t="s">
        <v>802</v>
      </c>
      <c r="E36" s="629">
        <f>E24+E31</f>
        <v>248720.47999999998</v>
      </c>
      <c r="F36" t="s">
        <v>586</v>
      </c>
    </row>
    <row r="37" spans="1:6">
      <c r="E37">
        <f>E36/1000</f>
        <v>248.72047999999998</v>
      </c>
      <c r="F37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4"/>
  </sheetPr>
  <dimension ref="A1:N25"/>
  <sheetViews>
    <sheetView workbookViewId="0">
      <selection activeCell="C25" sqref="C25"/>
    </sheetView>
  </sheetViews>
  <sheetFormatPr defaultRowHeight="15"/>
  <cols>
    <col min="1" max="1" width="7.85546875" style="346" customWidth="1"/>
    <col min="2" max="2" width="0.5703125" style="346" hidden="1" customWidth="1"/>
    <col min="3" max="3" width="30.140625" style="346" customWidth="1"/>
    <col min="4" max="4" width="3.42578125" style="346" hidden="1" customWidth="1"/>
    <col min="5" max="5" width="7" style="346" customWidth="1"/>
    <col min="6" max="6" width="6.85546875" style="346" customWidth="1"/>
    <col min="7" max="7" width="7" style="346" customWidth="1"/>
    <col min="8" max="8" width="6.5703125" style="346" customWidth="1"/>
    <col min="9" max="9" width="6.85546875" style="346" customWidth="1"/>
    <col min="10" max="10" width="7.28515625" style="346" customWidth="1"/>
    <col min="11" max="11" width="6.5703125" style="346" customWidth="1"/>
    <col min="12" max="12" width="6.42578125" style="346" customWidth="1"/>
    <col min="13" max="13" width="7.140625" style="346" customWidth="1"/>
    <col min="14" max="14" width="6.85546875" style="346" customWidth="1"/>
    <col min="15" max="16384" width="9.140625" style="346"/>
  </cols>
  <sheetData>
    <row r="1" spans="1:14">
      <c r="N1" s="347" t="s">
        <v>82</v>
      </c>
    </row>
    <row r="3" spans="1:14" ht="16.5">
      <c r="A3" s="695" t="s">
        <v>83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</row>
    <row r="4" spans="1:14">
      <c r="E4" s="346" t="s">
        <v>734</v>
      </c>
    </row>
    <row r="5" spans="1:14" ht="20.25" customHeight="1">
      <c r="N5" s="348" t="s">
        <v>84</v>
      </c>
    </row>
    <row r="6" spans="1:14" ht="14.1" customHeight="1">
      <c r="A6" s="696" t="s">
        <v>3</v>
      </c>
      <c r="B6" s="697" t="s">
        <v>4</v>
      </c>
      <c r="C6" s="697"/>
      <c r="D6" s="697"/>
      <c r="E6" s="672" t="s">
        <v>677</v>
      </c>
      <c r="F6" s="672"/>
      <c r="G6" s="672"/>
      <c r="H6" s="672"/>
      <c r="I6" s="672"/>
      <c r="J6" s="698" t="s">
        <v>735</v>
      </c>
      <c r="K6" s="698"/>
      <c r="L6" s="698"/>
      <c r="M6" s="698"/>
      <c r="N6" s="698"/>
    </row>
    <row r="7" spans="1:14">
      <c r="A7" s="696"/>
      <c r="B7" s="697"/>
      <c r="C7" s="697"/>
      <c r="D7" s="697"/>
      <c r="E7" s="349" t="s">
        <v>12</v>
      </c>
      <c r="F7" s="349" t="s">
        <v>8</v>
      </c>
      <c r="G7" s="349" t="s">
        <v>9</v>
      </c>
      <c r="H7" s="349" t="s">
        <v>10</v>
      </c>
      <c r="I7" s="349" t="s">
        <v>11</v>
      </c>
      <c r="J7" s="350" t="s">
        <v>12</v>
      </c>
      <c r="K7" s="350" t="s">
        <v>8</v>
      </c>
      <c r="L7" s="350" t="s">
        <v>9</v>
      </c>
      <c r="M7" s="350" t="s">
        <v>10</v>
      </c>
      <c r="N7" s="350" t="s">
        <v>11</v>
      </c>
    </row>
    <row r="8" spans="1:14">
      <c r="A8" s="349">
        <v>1</v>
      </c>
      <c r="B8" s="694">
        <v>2</v>
      </c>
      <c r="C8" s="694"/>
      <c r="D8" s="694"/>
      <c r="E8" s="349">
        <v>3</v>
      </c>
      <c r="F8" s="349">
        <v>4</v>
      </c>
      <c r="G8" s="349">
        <v>5</v>
      </c>
      <c r="H8" s="349">
        <v>6</v>
      </c>
      <c r="I8" s="349">
        <v>7</v>
      </c>
      <c r="J8" s="350">
        <v>8</v>
      </c>
      <c r="K8" s="350">
        <v>9</v>
      </c>
      <c r="L8" s="350">
        <v>10</v>
      </c>
      <c r="M8" s="350">
        <v>11</v>
      </c>
      <c r="N8" s="350">
        <v>12</v>
      </c>
    </row>
    <row r="9" spans="1:14" ht="30">
      <c r="A9" s="351">
        <v>1</v>
      </c>
      <c r="B9" s="352"/>
      <c r="C9" s="353" t="s">
        <v>85</v>
      </c>
      <c r="D9" s="354"/>
      <c r="E9" s="355">
        <f>SUM(F9:I9)</f>
        <v>0</v>
      </c>
      <c r="F9" s="356">
        <f>SUM(F10+F11)</f>
        <v>0</v>
      </c>
      <c r="G9" s="356">
        <f>SUM(G10+G11)</f>
        <v>0</v>
      </c>
      <c r="H9" s="356">
        <f>SUM(H10+H11)</f>
        <v>0</v>
      </c>
      <c r="I9" s="356">
        <f>SUM(I10+I11)</f>
        <v>0</v>
      </c>
      <c r="J9" s="357">
        <f>SUM(K9:N9)</f>
        <v>1.7450000000000001</v>
      </c>
      <c r="K9" s="358">
        <f>SUM(K10+K11)</f>
        <v>0</v>
      </c>
      <c r="L9" s="358">
        <f>SUM(L10+L11)</f>
        <v>0</v>
      </c>
      <c r="M9" s="358">
        <f>SUM(M10+M11)</f>
        <v>1.7450000000000001</v>
      </c>
      <c r="N9" s="358">
        <f>SUM(N10+N11)</f>
        <v>0</v>
      </c>
    </row>
    <row r="10" spans="1:14">
      <c r="A10" s="359" t="s">
        <v>15</v>
      </c>
      <c r="B10" s="352"/>
      <c r="C10" s="353" t="s">
        <v>86</v>
      </c>
      <c r="D10" s="354"/>
      <c r="E10" s="356">
        <f t="shared" ref="E10:E16" si="0">SUM(F10:I10)</f>
        <v>0</v>
      </c>
      <c r="F10" s="356"/>
      <c r="G10" s="356"/>
      <c r="H10" s="356"/>
      <c r="I10" s="356"/>
      <c r="J10" s="358">
        <f t="shared" ref="J10:J23" si="1">SUM(K10:N10)</f>
        <v>1.7450000000000001</v>
      </c>
      <c r="K10" s="358"/>
      <c r="L10" s="358"/>
      <c r="M10" s="358">
        <v>1.7450000000000001</v>
      </c>
      <c r="N10" s="358"/>
    </row>
    <row r="11" spans="1:14">
      <c r="A11" s="359" t="s">
        <v>22</v>
      </c>
      <c r="B11" s="352"/>
      <c r="C11" s="353" t="s">
        <v>87</v>
      </c>
      <c r="D11" s="354"/>
      <c r="E11" s="356">
        <f t="shared" si="0"/>
        <v>0</v>
      </c>
      <c r="F11" s="356"/>
      <c r="G11" s="356"/>
      <c r="H11" s="356"/>
      <c r="I11" s="356"/>
      <c r="J11" s="358">
        <f t="shared" si="1"/>
        <v>0</v>
      </c>
      <c r="K11" s="358"/>
      <c r="L11" s="358"/>
      <c r="M11" s="358"/>
      <c r="N11" s="358"/>
    </row>
    <row r="12" spans="1:14" ht="30">
      <c r="A12" s="351"/>
      <c r="B12" s="352"/>
      <c r="C12" s="353" t="s">
        <v>88</v>
      </c>
      <c r="D12" s="354"/>
      <c r="E12" s="356">
        <f t="shared" si="0"/>
        <v>0</v>
      </c>
      <c r="F12" s="356"/>
      <c r="G12" s="356"/>
      <c r="H12" s="356"/>
      <c r="I12" s="356"/>
      <c r="J12" s="358">
        <f t="shared" si="1"/>
        <v>0</v>
      </c>
      <c r="K12" s="358"/>
      <c r="L12" s="358"/>
      <c r="M12" s="358"/>
      <c r="N12" s="358"/>
    </row>
    <row r="13" spans="1:14">
      <c r="A13" s="359"/>
      <c r="B13" s="352"/>
      <c r="C13" s="353" t="s">
        <v>89</v>
      </c>
      <c r="D13" s="354"/>
      <c r="E13" s="356">
        <f t="shared" si="0"/>
        <v>0</v>
      </c>
      <c r="F13" s="356"/>
      <c r="G13" s="356"/>
      <c r="H13" s="356"/>
      <c r="I13" s="356"/>
      <c r="J13" s="358">
        <f t="shared" si="1"/>
        <v>0</v>
      </c>
      <c r="K13" s="358"/>
      <c r="L13" s="358"/>
      <c r="M13" s="358"/>
      <c r="N13" s="358"/>
    </row>
    <row r="14" spans="1:14">
      <c r="A14" s="359" t="s">
        <v>59</v>
      </c>
      <c r="B14" s="352"/>
      <c r="C14" s="353" t="s">
        <v>90</v>
      </c>
      <c r="D14" s="354"/>
      <c r="E14" s="355">
        <f t="shared" si="0"/>
        <v>0</v>
      </c>
      <c r="F14" s="356"/>
      <c r="G14" s="356"/>
      <c r="H14" s="356"/>
      <c r="I14" s="356"/>
      <c r="J14" s="357">
        <f t="shared" si="1"/>
        <v>0.106794</v>
      </c>
      <c r="K14" s="358"/>
      <c r="L14" s="358"/>
      <c r="M14" s="358">
        <f>M10*0.0612</f>
        <v>0.106794</v>
      </c>
      <c r="N14" s="358"/>
    </row>
    <row r="15" spans="1:14">
      <c r="A15" s="359"/>
      <c r="B15" s="352"/>
      <c r="C15" s="353" t="s">
        <v>91</v>
      </c>
      <c r="D15" s="354"/>
      <c r="E15" s="356" t="e">
        <f t="shared" ref="E15:N15" si="2">(E14/E9)*100</f>
        <v>#DIV/0!</v>
      </c>
      <c r="F15" s="356" t="e">
        <f t="shared" si="2"/>
        <v>#DIV/0!</v>
      </c>
      <c r="G15" s="356" t="e">
        <f t="shared" si="2"/>
        <v>#DIV/0!</v>
      </c>
      <c r="H15" s="356" t="e">
        <f t="shared" si="2"/>
        <v>#DIV/0!</v>
      </c>
      <c r="I15" s="356" t="e">
        <f t="shared" si="2"/>
        <v>#DIV/0!</v>
      </c>
      <c r="J15" s="358">
        <f t="shared" si="2"/>
        <v>6.12</v>
      </c>
      <c r="K15" s="358" t="e">
        <f t="shared" si="2"/>
        <v>#DIV/0!</v>
      </c>
      <c r="L15" s="358" t="e">
        <f t="shared" si="2"/>
        <v>#DIV/0!</v>
      </c>
      <c r="M15" s="358">
        <f t="shared" si="2"/>
        <v>6.12</v>
      </c>
      <c r="N15" s="358" t="e">
        <f t="shared" si="2"/>
        <v>#DIV/0!</v>
      </c>
    </row>
    <row r="16" spans="1:14" ht="42.75" customHeight="1">
      <c r="A16" s="351" t="s">
        <v>61</v>
      </c>
      <c r="B16" s="352"/>
      <c r="C16" s="353" t="s">
        <v>92</v>
      </c>
      <c r="D16" s="354"/>
      <c r="E16" s="356">
        <f t="shared" si="0"/>
        <v>0</v>
      </c>
      <c r="F16" s="356"/>
      <c r="G16" s="356"/>
      <c r="H16" s="356"/>
      <c r="I16" s="356"/>
      <c r="J16" s="358">
        <f t="shared" si="1"/>
        <v>0</v>
      </c>
      <c r="K16" s="358"/>
      <c r="L16" s="358"/>
      <c r="M16" s="358">
        <v>0</v>
      </c>
      <c r="N16" s="358"/>
    </row>
    <row r="17" spans="1:14" ht="30">
      <c r="A17" s="351" t="s">
        <v>63</v>
      </c>
      <c r="B17" s="352"/>
      <c r="C17" s="353" t="s">
        <v>93</v>
      </c>
      <c r="D17" s="354"/>
      <c r="E17" s="355">
        <f>SUM(F17:I17)</f>
        <v>0</v>
      </c>
      <c r="F17" s="356">
        <f>F19+F22+F23</f>
        <v>0</v>
      </c>
      <c r="G17" s="356">
        <f>G19+G22+G23</f>
        <v>0</v>
      </c>
      <c r="H17" s="356">
        <f>H19+H22+H23</f>
        <v>0</v>
      </c>
      <c r="I17" s="356">
        <f>I19+I22+I23</f>
        <v>0</v>
      </c>
      <c r="J17" s="357">
        <f>SUM(K17:N17)</f>
        <v>1.6382060000000001</v>
      </c>
      <c r="K17" s="358">
        <f>K19+K22+K23</f>
        <v>0</v>
      </c>
      <c r="L17" s="358">
        <f>L19+L22+L23</f>
        <v>0</v>
      </c>
      <c r="M17" s="358">
        <f>M19+M22+M23</f>
        <v>1.6382060000000001</v>
      </c>
      <c r="N17" s="358">
        <f>N19+N22+N23</f>
        <v>0</v>
      </c>
    </row>
    <row r="18" spans="1:14">
      <c r="A18" s="351" t="s">
        <v>644</v>
      </c>
      <c r="B18" s="352"/>
      <c r="C18" s="353" t="s">
        <v>648</v>
      </c>
      <c r="D18" s="354"/>
      <c r="E18" s="356"/>
      <c r="F18" s="356"/>
      <c r="G18" s="356"/>
      <c r="H18" s="356"/>
      <c r="I18" s="356"/>
      <c r="J18" s="358"/>
      <c r="K18" s="358"/>
      <c r="L18" s="358"/>
      <c r="M18" s="358"/>
      <c r="N18" s="358"/>
    </row>
    <row r="19" spans="1:14" ht="42.75" customHeight="1">
      <c r="A19" s="351" t="s">
        <v>80</v>
      </c>
      <c r="B19" s="352"/>
      <c r="C19" s="353" t="s">
        <v>649</v>
      </c>
      <c r="D19" s="354"/>
      <c r="E19" s="356">
        <f>SUM(F19:I19)</f>
        <v>0</v>
      </c>
      <c r="F19" s="356"/>
      <c r="G19" s="356"/>
      <c r="H19" s="356"/>
      <c r="I19" s="356"/>
      <c r="J19" s="358">
        <f t="shared" si="1"/>
        <v>1.6382060000000001</v>
      </c>
      <c r="K19" s="358"/>
      <c r="L19" s="358"/>
      <c r="M19" s="358">
        <f>M20+M21</f>
        <v>1.6382060000000001</v>
      </c>
      <c r="N19" s="358"/>
    </row>
    <row r="20" spans="1:14" ht="28.5" customHeight="1">
      <c r="A20" s="351"/>
      <c r="B20" s="352"/>
      <c r="C20" s="360" t="s">
        <v>582</v>
      </c>
      <c r="D20" s="354"/>
      <c r="E20" s="356">
        <f>SUM(F20:I20)</f>
        <v>0</v>
      </c>
      <c r="F20" s="356"/>
      <c r="G20" s="356"/>
      <c r="H20" s="356"/>
      <c r="I20" s="356"/>
      <c r="J20" s="358"/>
      <c r="K20" s="358"/>
      <c r="L20" s="358"/>
      <c r="M20" s="358"/>
      <c r="N20" s="358"/>
    </row>
    <row r="21" spans="1:14" ht="16.5" customHeight="1">
      <c r="A21" s="351"/>
      <c r="B21" s="352"/>
      <c r="C21" s="361" t="s">
        <v>650</v>
      </c>
      <c r="D21" s="354"/>
      <c r="E21" s="356">
        <f>SUM(F21:I21)</f>
        <v>0</v>
      </c>
      <c r="F21" s="356"/>
      <c r="G21" s="356"/>
      <c r="H21" s="356"/>
      <c r="I21" s="356"/>
      <c r="J21" s="358"/>
      <c r="K21" s="358"/>
      <c r="L21" s="358"/>
      <c r="M21" s="358">
        <f>M9-M14</f>
        <v>1.6382060000000001</v>
      </c>
      <c r="N21" s="358"/>
    </row>
    <row r="22" spans="1:14" ht="45">
      <c r="A22" s="351" t="s">
        <v>80</v>
      </c>
      <c r="B22" s="352"/>
      <c r="C22" s="353" t="s">
        <v>94</v>
      </c>
      <c r="D22" s="354"/>
      <c r="E22" s="356">
        <f>SUM(F22:I22)</f>
        <v>0</v>
      </c>
      <c r="F22" s="356"/>
      <c r="G22" s="356"/>
      <c r="H22" s="356"/>
      <c r="I22" s="356"/>
      <c r="J22" s="358">
        <f t="shared" si="1"/>
        <v>0</v>
      </c>
      <c r="K22" s="358"/>
      <c r="L22" s="358"/>
      <c r="M22" s="358"/>
      <c r="N22" s="358"/>
    </row>
    <row r="23" spans="1:14">
      <c r="A23" s="359" t="s">
        <v>81</v>
      </c>
      <c r="B23" s="352"/>
      <c r="C23" s="353" t="s">
        <v>95</v>
      </c>
      <c r="D23" s="354"/>
      <c r="E23" s="356">
        <f>SUM(F23:I23)</f>
        <v>0</v>
      </c>
      <c r="F23" s="356"/>
      <c r="G23" s="356"/>
      <c r="H23" s="356"/>
      <c r="I23" s="356"/>
      <c r="J23" s="358">
        <f t="shared" si="1"/>
        <v>0</v>
      </c>
      <c r="K23" s="358"/>
      <c r="L23" s="358"/>
      <c r="M23" s="358"/>
      <c r="N23" s="358"/>
    </row>
    <row r="25" spans="1:14">
      <c r="C25" s="346" t="s">
        <v>805</v>
      </c>
    </row>
  </sheetData>
  <sheetProtection selectLockedCells="1" selectUnlockedCells="1"/>
  <mergeCells count="6">
    <mergeCell ref="B8:D8"/>
    <mergeCell ref="A3:N3"/>
    <mergeCell ref="A6:A7"/>
    <mergeCell ref="B6:D7"/>
    <mergeCell ref="E6:I6"/>
    <mergeCell ref="J6:N6"/>
  </mergeCells>
  <phoneticPr fontId="23" type="noConversion"/>
  <pageMargins left="0.19652777777777777" right="0" top="0" bottom="0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theme="4"/>
  </sheetPr>
  <dimension ref="A1:S18"/>
  <sheetViews>
    <sheetView zoomScale="90" zoomScaleNormal="90" workbookViewId="0">
      <selection activeCell="C25" sqref="C25"/>
    </sheetView>
  </sheetViews>
  <sheetFormatPr defaultRowHeight="15"/>
  <cols>
    <col min="1" max="1" width="4.85546875" style="346" customWidth="1"/>
    <col min="2" max="2" width="0.5703125" style="346" customWidth="1"/>
    <col min="3" max="3" width="32" style="346" customWidth="1"/>
    <col min="4" max="4" width="8.7109375" style="346" customWidth="1"/>
    <col min="5" max="5" width="5.28515625" style="346" customWidth="1"/>
    <col min="6" max="6" width="6.140625" style="346" customWidth="1"/>
    <col min="7" max="7" width="6.85546875" style="346" customWidth="1"/>
    <col min="8" max="8" width="5.7109375" style="346" customWidth="1"/>
    <col min="9" max="9" width="9" style="346" customWidth="1"/>
    <col min="10" max="10" width="6.5703125" style="346" customWidth="1"/>
    <col min="11" max="11" width="5.5703125" style="346" customWidth="1"/>
    <col min="12" max="12" width="6" style="346" customWidth="1"/>
    <col min="13" max="13" width="5.7109375" style="346" customWidth="1"/>
    <col min="14" max="14" width="10.42578125" style="346" customWidth="1"/>
    <col min="15" max="15" width="8.28515625" style="346" customWidth="1"/>
    <col min="16" max="16" width="5.5703125" style="346" customWidth="1"/>
    <col min="17" max="17" width="5.140625" style="346" customWidth="1"/>
    <col min="18" max="18" width="6" style="346" customWidth="1"/>
    <col min="19" max="19" width="6.140625" style="346" customWidth="1"/>
    <col min="20" max="16384" width="9.140625" style="346"/>
  </cols>
  <sheetData>
    <row r="1" spans="1:19">
      <c r="S1" s="347" t="s">
        <v>96</v>
      </c>
    </row>
    <row r="3" spans="1:19" ht="16.5">
      <c r="A3" s="695" t="s">
        <v>97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</row>
    <row r="4" spans="1:19" ht="16.5">
      <c r="A4" s="695" t="s">
        <v>98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</row>
    <row r="5" spans="1:19">
      <c r="G5" s="346" t="s">
        <v>734</v>
      </c>
    </row>
    <row r="6" spans="1:19" ht="30" customHeight="1">
      <c r="A6" s="696" t="s">
        <v>3</v>
      </c>
      <c r="B6" s="696" t="s">
        <v>99</v>
      </c>
      <c r="C6" s="696"/>
      <c r="D6" s="696" t="s">
        <v>100</v>
      </c>
      <c r="E6" s="696"/>
      <c r="F6" s="696"/>
      <c r="G6" s="696"/>
      <c r="H6" s="696"/>
      <c r="I6" s="696" t="s">
        <v>101</v>
      </c>
      <c r="J6" s="696"/>
      <c r="K6" s="696"/>
      <c r="L6" s="696"/>
      <c r="M6" s="696"/>
      <c r="N6" s="696" t="s">
        <v>102</v>
      </c>
      <c r="O6" s="696" t="s">
        <v>103</v>
      </c>
      <c r="P6" s="696"/>
      <c r="Q6" s="696"/>
      <c r="R6" s="696"/>
      <c r="S6" s="696"/>
    </row>
    <row r="7" spans="1:19">
      <c r="A7" s="696"/>
      <c r="B7" s="696"/>
      <c r="C7" s="696"/>
      <c r="D7" s="349" t="s">
        <v>12</v>
      </c>
      <c r="E7" s="349" t="s">
        <v>8</v>
      </c>
      <c r="F7" s="349" t="s">
        <v>9</v>
      </c>
      <c r="G7" s="349" t="s">
        <v>10</v>
      </c>
      <c r="H7" s="349" t="s">
        <v>11</v>
      </c>
      <c r="I7" s="349" t="s">
        <v>12</v>
      </c>
      <c r="J7" s="349" t="s">
        <v>8</v>
      </c>
      <c r="K7" s="349" t="s">
        <v>9</v>
      </c>
      <c r="L7" s="349" t="s">
        <v>10</v>
      </c>
      <c r="M7" s="349" t="s">
        <v>11</v>
      </c>
      <c r="N7" s="696"/>
      <c r="O7" s="349" t="s">
        <v>12</v>
      </c>
      <c r="P7" s="349" t="s">
        <v>8</v>
      </c>
      <c r="Q7" s="349" t="s">
        <v>9</v>
      </c>
      <c r="R7" s="349" t="s">
        <v>10</v>
      </c>
      <c r="S7" s="349" t="s">
        <v>11</v>
      </c>
    </row>
    <row r="8" spans="1:19">
      <c r="A8" s="349">
        <v>1</v>
      </c>
      <c r="B8" s="694">
        <v>2</v>
      </c>
      <c r="C8" s="694"/>
      <c r="D8" s="349">
        <v>3</v>
      </c>
      <c r="E8" s="349">
        <v>4</v>
      </c>
      <c r="F8" s="349">
        <v>5</v>
      </c>
      <c r="G8" s="349">
        <v>6</v>
      </c>
      <c r="H8" s="349">
        <v>7</v>
      </c>
      <c r="I8" s="349">
        <v>8</v>
      </c>
      <c r="J8" s="349">
        <v>9</v>
      </c>
      <c r="K8" s="349">
        <v>10</v>
      </c>
      <c r="L8" s="349">
        <v>11</v>
      </c>
      <c r="M8" s="349">
        <v>12</v>
      </c>
      <c r="N8" s="349">
        <v>13</v>
      </c>
      <c r="O8" s="349">
        <v>14</v>
      </c>
      <c r="P8" s="349">
        <v>15</v>
      </c>
      <c r="Q8" s="349">
        <v>16</v>
      </c>
      <c r="R8" s="349">
        <v>17</v>
      </c>
      <c r="S8" s="349">
        <v>18</v>
      </c>
    </row>
    <row r="9" spans="1:19">
      <c r="A9" s="694" t="s">
        <v>677</v>
      </c>
      <c r="B9" s="694"/>
      <c r="C9" s="694"/>
      <c r="D9" s="694"/>
      <c r="E9" s="694"/>
      <c r="F9" s="694"/>
      <c r="G9" s="694"/>
      <c r="H9" s="694"/>
      <c r="I9" s="694"/>
      <c r="J9" s="694"/>
      <c r="K9" s="694"/>
      <c r="L9" s="694"/>
      <c r="M9" s="694"/>
      <c r="N9" s="694"/>
      <c r="O9" s="694"/>
      <c r="P9" s="694"/>
      <c r="Q9" s="694"/>
      <c r="R9" s="694"/>
      <c r="S9" s="694"/>
    </row>
    <row r="10" spans="1:19">
      <c r="A10" s="359">
        <v>2</v>
      </c>
      <c r="B10" s="352"/>
      <c r="C10" s="362" t="s">
        <v>104</v>
      </c>
      <c r="D10" s="363">
        <f>E10+F10+G10+H10</f>
        <v>0</v>
      </c>
      <c r="E10" s="364"/>
      <c r="F10" s="364"/>
      <c r="G10" s="364"/>
      <c r="H10" s="364"/>
      <c r="I10" s="363">
        <f>J10+K10+L10+M10</f>
        <v>0</v>
      </c>
      <c r="J10" s="364"/>
      <c r="K10" s="364"/>
      <c r="L10" s="364"/>
      <c r="M10" s="364"/>
      <c r="N10" s="364"/>
      <c r="O10" s="363">
        <f>SUM(P10:S10)</f>
        <v>0</v>
      </c>
      <c r="P10" s="364"/>
      <c r="Q10" s="364"/>
      <c r="R10" s="364"/>
      <c r="S10" s="364"/>
    </row>
    <row r="11" spans="1:19">
      <c r="A11" s="359">
        <v>3</v>
      </c>
      <c r="B11" s="352"/>
      <c r="C11" s="362" t="s">
        <v>105</v>
      </c>
      <c r="D11" s="363">
        <f>E11+F11+G11+H11</f>
        <v>0</v>
      </c>
      <c r="E11" s="364"/>
      <c r="F11" s="364"/>
      <c r="G11" s="364"/>
      <c r="H11" s="364"/>
      <c r="I11" s="363">
        <f>J11+K11+L11+M11</f>
        <v>0</v>
      </c>
      <c r="J11" s="364"/>
      <c r="K11" s="364"/>
      <c r="L11" s="364"/>
      <c r="M11" s="364"/>
      <c r="N11" s="364"/>
      <c r="O11" s="363">
        <f>SUM(P11:S11)</f>
        <v>0</v>
      </c>
      <c r="P11" s="364"/>
      <c r="Q11" s="364"/>
      <c r="R11" s="364"/>
      <c r="S11" s="364"/>
    </row>
    <row r="12" spans="1:19">
      <c r="A12" s="359" t="s">
        <v>63</v>
      </c>
      <c r="B12" s="352"/>
      <c r="C12" s="362" t="s">
        <v>64</v>
      </c>
      <c r="D12" s="363">
        <f>D10+D11</f>
        <v>0</v>
      </c>
      <c r="E12" s="363">
        <f t="shared" ref="E12:M12" si="0">E10+E11</f>
        <v>0</v>
      </c>
      <c r="F12" s="363">
        <f t="shared" si="0"/>
        <v>0</v>
      </c>
      <c r="G12" s="363">
        <f t="shared" si="0"/>
        <v>0</v>
      </c>
      <c r="H12" s="363">
        <f t="shared" si="0"/>
        <v>0</v>
      </c>
      <c r="I12" s="363">
        <f>I10+I11</f>
        <v>0</v>
      </c>
      <c r="J12" s="363">
        <f t="shared" si="0"/>
        <v>0</v>
      </c>
      <c r="K12" s="363">
        <f t="shared" si="0"/>
        <v>0</v>
      </c>
      <c r="L12" s="363">
        <f t="shared" si="0"/>
        <v>0</v>
      </c>
      <c r="M12" s="363">
        <f t="shared" si="0"/>
        <v>0</v>
      </c>
      <c r="N12" s="364">
        <f>N10+N11</f>
        <v>0</v>
      </c>
      <c r="O12" s="363">
        <f>SUM(P12:S12)</f>
        <v>0</v>
      </c>
      <c r="P12" s="363">
        <f>P10+P11</f>
        <v>0</v>
      </c>
      <c r="Q12" s="363">
        <f>Q10+Q11</f>
        <v>0</v>
      </c>
      <c r="R12" s="363">
        <f>R10+R11</f>
        <v>0</v>
      </c>
      <c r="S12" s="363">
        <f>S10+S11</f>
        <v>0</v>
      </c>
    </row>
    <row r="13" spans="1:19">
      <c r="A13" s="698" t="s">
        <v>735</v>
      </c>
      <c r="B13" s="698"/>
      <c r="C13" s="698"/>
      <c r="D13" s="698"/>
      <c r="E13" s="698"/>
      <c r="F13" s="698"/>
      <c r="G13" s="698"/>
      <c r="H13" s="698"/>
      <c r="I13" s="698"/>
      <c r="J13" s="698"/>
      <c r="K13" s="698"/>
      <c r="L13" s="698"/>
      <c r="M13" s="698"/>
      <c r="N13" s="698"/>
      <c r="O13" s="698"/>
      <c r="P13" s="698"/>
      <c r="Q13" s="698"/>
      <c r="R13" s="698"/>
      <c r="S13" s="698"/>
    </row>
    <row r="14" spans="1:19">
      <c r="A14" s="365">
        <v>2</v>
      </c>
      <c r="B14" s="366"/>
      <c r="C14" s="367" t="s">
        <v>104</v>
      </c>
      <c r="D14" s="368">
        <f>E14+F14+G14+H14</f>
        <v>0</v>
      </c>
      <c r="E14" s="369"/>
      <c r="F14" s="369"/>
      <c r="G14" s="369"/>
      <c r="H14" s="369"/>
      <c r="I14" s="368">
        <f>J14+K14+L14+M14</f>
        <v>0</v>
      </c>
      <c r="J14" s="369"/>
      <c r="K14" s="369"/>
      <c r="L14" s="369"/>
      <c r="M14" s="369"/>
      <c r="N14" s="369"/>
      <c r="O14" s="368">
        <f>SUM(P14:S14)</f>
        <v>0</v>
      </c>
      <c r="P14" s="369"/>
      <c r="Q14" s="369"/>
      <c r="R14" s="369"/>
      <c r="S14" s="369"/>
    </row>
    <row r="15" spans="1:19">
      <c r="A15" s="365">
        <v>3</v>
      </c>
      <c r="B15" s="366"/>
      <c r="C15" s="367" t="s">
        <v>105</v>
      </c>
      <c r="D15" s="368">
        <f>E15+F15+G15+H15</f>
        <v>8.0030000000000019</v>
      </c>
      <c r="E15" s="369"/>
      <c r="F15" s="369"/>
      <c r="G15" s="369">
        <f>П1.4!M21</f>
        <v>8.0030000000000019</v>
      </c>
      <c r="H15" s="369"/>
      <c r="I15" s="368">
        <f>J15+K15+L15+M15</f>
        <v>1.6382060000000001</v>
      </c>
      <c r="J15" s="369"/>
      <c r="K15" s="369"/>
      <c r="L15" s="369">
        <f>П1.5!M17</f>
        <v>1.6382060000000001</v>
      </c>
      <c r="M15" s="369"/>
      <c r="N15" s="369">
        <f>G15/L15*1000</f>
        <v>4885.2220050469859</v>
      </c>
      <c r="O15" s="368">
        <f>SUM(P15:S15)</f>
        <v>100</v>
      </c>
      <c r="P15" s="369"/>
      <c r="Q15" s="369"/>
      <c r="R15" s="369">
        <v>100</v>
      </c>
      <c r="S15" s="369"/>
    </row>
    <row r="16" spans="1:19">
      <c r="A16" s="365" t="s">
        <v>63</v>
      </c>
      <c r="B16" s="366"/>
      <c r="C16" s="367" t="s">
        <v>64</v>
      </c>
      <c r="D16" s="363">
        <f t="shared" ref="D16:N16" si="1">D14+D15</f>
        <v>8.0030000000000019</v>
      </c>
      <c r="E16" s="363">
        <f t="shared" si="1"/>
        <v>0</v>
      </c>
      <c r="F16" s="363">
        <f t="shared" si="1"/>
        <v>0</v>
      </c>
      <c r="G16" s="363">
        <f t="shared" si="1"/>
        <v>8.0030000000000019</v>
      </c>
      <c r="H16" s="363">
        <f t="shared" si="1"/>
        <v>0</v>
      </c>
      <c r="I16" s="363">
        <f t="shared" si="1"/>
        <v>1.6382060000000001</v>
      </c>
      <c r="J16" s="363">
        <f t="shared" si="1"/>
        <v>0</v>
      </c>
      <c r="K16" s="363">
        <f t="shared" si="1"/>
        <v>0</v>
      </c>
      <c r="L16" s="363">
        <f t="shared" si="1"/>
        <v>1.6382060000000001</v>
      </c>
      <c r="M16" s="363">
        <f t="shared" si="1"/>
        <v>0</v>
      </c>
      <c r="N16" s="364">
        <f t="shared" si="1"/>
        <v>4885.2220050469859</v>
      </c>
      <c r="O16" s="363">
        <f>SUM(P16:S16)</f>
        <v>0</v>
      </c>
      <c r="P16" s="363">
        <f>SUM(Q16:T16)</f>
        <v>0</v>
      </c>
      <c r="Q16" s="363">
        <f>SUM(R16:U16)</f>
        <v>0</v>
      </c>
      <c r="R16" s="363">
        <f>SUM(S16:V16)</f>
        <v>0</v>
      </c>
      <c r="S16" s="363">
        <f>SUM(T16:W16)</f>
        <v>0</v>
      </c>
    </row>
    <row r="18" spans="3:3">
      <c r="C18" s="346" t="s">
        <v>806</v>
      </c>
    </row>
  </sheetData>
  <sheetProtection selectLockedCells="1" selectUnlockedCells="1"/>
  <mergeCells count="11">
    <mergeCell ref="A13:S13"/>
    <mergeCell ref="A3:S3"/>
    <mergeCell ref="A4:S4"/>
    <mergeCell ref="A6:A7"/>
    <mergeCell ref="B6:C7"/>
    <mergeCell ref="D6:H6"/>
    <mergeCell ref="I6:M6"/>
    <mergeCell ref="N6:N7"/>
    <mergeCell ref="O6:S6"/>
    <mergeCell ref="B8:C8"/>
    <mergeCell ref="A9:S9"/>
  </mergeCells>
  <phoneticPr fontId="23" type="noConversion"/>
  <pageMargins left="0.39374999999999999" right="0" top="0.19652777777777777" bottom="0.19652777777777777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L33"/>
  <sheetViews>
    <sheetView topLeftCell="A28" workbookViewId="0">
      <selection activeCell="A3" sqref="A3:K3"/>
    </sheetView>
  </sheetViews>
  <sheetFormatPr defaultRowHeight="12.75"/>
  <cols>
    <col min="1" max="1" width="4.42578125" style="583" customWidth="1"/>
    <col min="2" max="2" width="9.140625" style="582"/>
    <col min="3" max="3" width="13.7109375" style="593" customWidth="1"/>
    <col min="4" max="4" width="10" style="582" customWidth="1"/>
    <col min="5" max="5" width="7.5703125" style="582" customWidth="1"/>
    <col min="6" max="6" width="8.140625" style="582" customWidth="1"/>
    <col min="7" max="7" width="7.5703125" style="582" customWidth="1"/>
    <col min="8" max="8" width="13.85546875" style="582" customWidth="1"/>
    <col min="9" max="9" width="9.7109375" style="582" customWidth="1"/>
    <col min="10" max="10" width="11.5703125" style="582" customWidth="1"/>
    <col min="11" max="11" width="17.5703125" style="582" customWidth="1"/>
    <col min="12" max="12" width="13.7109375" style="582" customWidth="1"/>
    <col min="13" max="16384" width="9.140625" style="583"/>
  </cols>
  <sheetData>
    <row r="1" spans="1:12">
      <c r="A1" s="702" t="s">
        <v>678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2" ht="13.5" customHeight="1">
      <c r="A2" s="703" t="s">
        <v>679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</row>
    <row r="3" spans="1:12" ht="14.25" customHeight="1">
      <c r="A3" s="703" t="s">
        <v>808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</row>
    <row r="5" spans="1:12" ht="15.75" customHeight="1">
      <c r="A5" s="699" t="s">
        <v>408</v>
      </c>
      <c r="B5" s="699" t="s">
        <v>680</v>
      </c>
      <c r="C5" s="704" t="s">
        <v>681</v>
      </c>
      <c r="D5" s="706" t="s">
        <v>682</v>
      </c>
      <c r="E5" s="706"/>
      <c r="F5" s="706"/>
      <c r="G5" s="706"/>
      <c r="H5" s="706"/>
      <c r="I5" s="699" t="s">
        <v>683</v>
      </c>
      <c r="J5" s="699" t="s">
        <v>684</v>
      </c>
      <c r="K5" s="699" t="s">
        <v>685</v>
      </c>
      <c r="L5" s="699" t="s">
        <v>686</v>
      </c>
    </row>
    <row r="6" spans="1:12" ht="47.25">
      <c r="A6" s="700"/>
      <c r="B6" s="700"/>
      <c r="C6" s="705"/>
      <c r="D6" s="584" t="s">
        <v>687</v>
      </c>
      <c r="E6" s="584" t="s">
        <v>688</v>
      </c>
      <c r="F6" s="584" t="s">
        <v>689</v>
      </c>
      <c r="G6" s="584" t="s">
        <v>690</v>
      </c>
      <c r="H6" s="584" t="s">
        <v>691</v>
      </c>
      <c r="I6" s="700"/>
      <c r="J6" s="700"/>
      <c r="K6" s="700"/>
      <c r="L6" s="700"/>
    </row>
    <row r="7" spans="1:12" s="582" customFormat="1" ht="11.25" customHeight="1">
      <c r="A7" s="585">
        <v>1</v>
      </c>
      <c r="B7" s="585">
        <v>2</v>
      </c>
      <c r="C7" s="586">
        <v>3</v>
      </c>
      <c r="D7" s="585">
        <v>4</v>
      </c>
      <c r="E7" s="585">
        <v>5</v>
      </c>
      <c r="F7" s="585">
        <v>6</v>
      </c>
      <c r="G7" s="585">
        <v>7</v>
      </c>
      <c r="H7" s="585">
        <v>8</v>
      </c>
      <c r="I7" s="585">
        <v>9</v>
      </c>
      <c r="J7" s="585">
        <v>10</v>
      </c>
      <c r="K7" s="585">
        <v>11</v>
      </c>
      <c r="L7" s="585">
        <v>12</v>
      </c>
    </row>
    <row r="8" spans="1:12" ht="15.75">
      <c r="A8" s="587"/>
      <c r="B8" s="584">
        <v>1</v>
      </c>
      <c r="C8" s="594">
        <v>1</v>
      </c>
      <c r="D8" s="584"/>
      <c r="E8" s="584"/>
      <c r="F8" s="584"/>
      <c r="G8" s="584"/>
      <c r="H8" s="584">
        <f t="shared" ref="H8:H23" si="0">D8+E8+F8+G8</f>
        <v>0</v>
      </c>
      <c r="I8" s="584">
        <f>B8*H8</f>
        <v>0</v>
      </c>
      <c r="J8" s="584"/>
      <c r="K8" s="588">
        <f>C8*H8</f>
        <v>0</v>
      </c>
      <c r="L8" s="584"/>
    </row>
    <row r="9" spans="1:12" ht="15.75">
      <c r="A9" s="587"/>
      <c r="B9" s="584">
        <v>2</v>
      </c>
      <c r="C9" s="594">
        <v>1.36</v>
      </c>
      <c r="D9" s="584"/>
      <c r="E9" s="584"/>
      <c r="F9" s="584"/>
      <c r="G9" s="584"/>
      <c r="H9" s="584">
        <f t="shared" si="0"/>
        <v>0</v>
      </c>
      <c r="I9" s="584">
        <f>B9*H9</f>
        <v>0</v>
      </c>
      <c r="J9" s="584"/>
      <c r="K9" s="588">
        <f t="shared" ref="K9:K22" si="1">C9*H9</f>
        <v>0</v>
      </c>
      <c r="L9" s="584"/>
    </row>
    <row r="10" spans="1:12" ht="15.75">
      <c r="A10" s="587"/>
      <c r="B10" s="584">
        <v>3</v>
      </c>
      <c r="C10" s="594">
        <v>1.69</v>
      </c>
      <c r="D10" s="584"/>
      <c r="E10" s="584"/>
      <c r="F10" s="584"/>
      <c r="G10" s="584"/>
      <c r="H10" s="584">
        <f t="shared" si="0"/>
        <v>0</v>
      </c>
      <c r="I10" s="584">
        <f>B10*H10</f>
        <v>0</v>
      </c>
      <c r="J10" s="584"/>
      <c r="K10" s="588">
        <f>C10*H10</f>
        <v>0</v>
      </c>
      <c r="L10" s="584"/>
    </row>
    <row r="11" spans="1:12" ht="15.75">
      <c r="A11" s="587"/>
      <c r="B11" s="584">
        <v>4</v>
      </c>
      <c r="C11" s="594">
        <v>1.91</v>
      </c>
      <c r="D11" s="584"/>
      <c r="E11" s="584"/>
      <c r="F11" s="584"/>
      <c r="G11" s="584"/>
      <c r="H11" s="584">
        <f t="shared" si="0"/>
        <v>0</v>
      </c>
      <c r="I11" s="584">
        <f t="shared" ref="I11:I23" si="2">B11*H11</f>
        <v>0</v>
      </c>
      <c r="J11" s="584"/>
      <c r="K11" s="588">
        <f t="shared" si="1"/>
        <v>0</v>
      </c>
      <c r="L11" s="584"/>
    </row>
    <row r="12" spans="1:12" ht="15.75">
      <c r="A12" s="587"/>
      <c r="B12" s="584">
        <v>5</v>
      </c>
      <c r="C12" s="594">
        <v>2.16</v>
      </c>
      <c r="D12" s="584">
        <v>3.37</v>
      </c>
      <c r="E12" s="584"/>
      <c r="F12" s="584"/>
      <c r="G12" s="584"/>
      <c r="H12" s="584">
        <f t="shared" si="0"/>
        <v>3.37</v>
      </c>
      <c r="I12" s="584">
        <f t="shared" si="2"/>
        <v>16.850000000000001</v>
      </c>
      <c r="J12" s="588">
        <f>I12/H12</f>
        <v>5</v>
      </c>
      <c r="K12" s="588">
        <f t="shared" si="1"/>
        <v>7.2792000000000003</v>
      </c>
      <c r="L12" s="589">
        <f>K12/H12</f>
        <v>2.16</v>
      </c>
    </row>
    <row r="13" spans="1:12" ht="15.75">
      <c r="A13" s="587"/>
      <c r="B13" s="584">
        <v>6</v>
      </c>
      <c r="C13" s="594">
        <v>2.44</v>
      </c>
      <c r="D13" s="584"/>
      <c r="E13" s="584"/>
      <c r="F13" s="584"/>
      <c r="G13" s="584"/>
      <c r="H13" s="584">
        <f t="shared" si="0"/>
        <v>0</v>
      </c>
      <c r="I13" s="584">
        <f t="shared" si="2"/>
        <v>0</v>
      </c>
      <c r="J13" s="584"/>
      <c r="K13" s="588">
        <f t="shared" si="1"/>
        <v>0</v>
      </c>
      <c r="L13" s="584"/>
    </row>
    <row r="14" spans="1:12" ht="15.75">
      <c r="A14" s="587"/>
      <c r="B14" s="584">
        <v>7</v>
      </c>
      <c r="C14" s="594">
        <v>2.76</v>
      </c>
      <c r="D14" s="584"/>
      <c r="E14" s="584"/>
      <c r="F14" s="584"/>
      <c r="G14" s="584"/>
      <c r="H14" s="584">
        <f t="shared" si="0"/>
        <v>0</v>
      </c>
      <c r="I14" s="584">
        <f t="shared" si="2"/>
        <v>0</v>
      </c>
      <c r="J14" s="584"/>
      <c r="K14" s="588">
        <f t="shared" si="1"/>
        <v>0</v>
      </c>
      <c r="L14" s="584"/>
    </row>
    <row r="15" spans="1:12" ht="15.75">
      <c r="A15" s="587"/>
      <c r="B15" s="584">
        <v>8</v>
      </c>
      <c r="C15" s="594">
        <v>3.12</v>
      </c>
      <c r="D15" s="584"/>
      <c r="E15" s="584"/>
      <c r="F15" s="584"/>
      <c r="G15" s="584"/>
      <c r="H15" s="584">
        <f t="shared" si="0"/>
        <v>0</v>
      </c>
      <c r="I15" s="584">
        <f t="shared" si="2"/>
        <v>0</v>
      </c>
      <c r="J15" s="584"/>
      <c r="K15" s="588">
        <f t="shared" si="1"/>
        <v>0</v>
      </c>
      <c r="L15" s="584"/>
    </row>
    <row r="16" spans="1:12" ht="15.75">
      <c r="A16" s="587"/>
      <c r="B16" s="584">
        <v>9</v>
      </c>
      <c r="C16" s="594">
        <v>3.53</v>
      </c>
      <c r="D16" s="584"/>
      <c r="E16" s="584"/>
      <c r="F16" s="584"/>
      <c r="G16" s="584"/>
      <c r="H16" s="584">
        <f t="shared" si="0"/>
        <v>0</v>
      </c>
      <c r="I16" s="584">
        <f t="shared" si="2"/>
        <v>0</v>
      </c>
      <c r="J16" s="584"/>
      <c r="K16" s="588">
        <f t="shared" si="1"/>
        <v>0</v>
      </c>
      <c r="L16" s="584"/>
    </row>
    <row r="17" spans="1:12" ht="15.75">
      <c r="A17" s="587"/>
      <c r="B17" s="584">
        <v>10</v>
      </c>
      <c r="C17" s="594">
        <v>3.99</v>
      </c>
      <c r="D17" s="584"/>
      <c r="E17" s="584"/>
      <c r="F17" s="584"/>
      <c r="G17" s="584">
        <v>0.86</v>
      </c>
      <c r="H17" s="584">
        <f t="shared" si="0"/>
        <v>0.86</v>
      </c>
      <c r="I17" s="584">
        <f t="shared" si="2"/>
        <v>8.6</v>
      </c>
      <c r="J17" s="588">
        <f>I17/H17</f>
        <v>10</v>
      </c>
      <c r="K17" s="588">
        <f t="shared" si="1"/>
        <v>3.4314</v>
      </c>
      <c r="L17" s="589">
        <f>K17/H17</f>
        <v>3.99</v>
      </c>
    </row>
    <row r="18" spans="1:12" ht="15.75">
      <c r="A18" s="587"/>
      <c r="B18" s="584">
        <v>11</v>
      </c>
      <c r="C18" s="594">
        <v>4.51</v>
      </c>
      <c r="D18" s="584"/>
      <c r="E18" s="584"/>
      <c r="F18" s="584"/>
      <c r="G18" s="584"/>
      <c r="H18" s="584">
        <f t="shared" si="0"/>
        <v>0</v>
      </c>
      <c r="I18" s="584">
        <f t="shared" si="2"/>
        <v>0</v>
      </c>
      <c r="J18" s="584"/>
      <c r="K18" s="588">
        <f t="shared" si="1"/>
        <v>0</v>
      </c>
      <c r="L18" s="584"/>
    </row>
    <row r="19" spans="1:12" ht="15.75">
      <c r="A19" s="587"/>
      <c r="B19" s="584">
        <v>12</v>
      </c>
      <c r="C19" s="594">
        <v>5.0999999999999996</v>
      </c>
      <c r="D19" s="584"/>
      <c r="E19" s="584"/>
      <c r="F19" s="584"/>
      <c r="G19" s="584"/>
      <c r="H19" s="584">
        <f t="shared" si="0"/>
        <v>0</v>
      </c>
      <c r="I19" s="584">
        <f t="shared" si="2"/>
        <v>0</v>
      </c>
      <c r="J19" s="584"/>
      <c r="K19" s="588">
        <f t="shared" si="1"/>
        <v>0</v>
      </c>
      <c r="L19" s="584"/>
    </row>
    <row r="20" spans="1:12" ht="15.75">
      <c r="A20" s="587"/>
      <c r="B20" s="584">
        <v>13</v>
      </c>
      <c r="C20" s="594">
        <v>5.76</v>
      </c>
      <c r="D20" s="584"/>
      <c r="E20" s="584"/>
      <c r="F20" s="584"/>
      <c r="G20" s="584"/>
      <c r="H20" s="584">
        <f t="shared" si="0"/>
        <v>0</v>
      </c>
      <c r="I20" s="584">
        <f t="shared" si="2"/>
        <v>0</v>
      </c>
      <c r="J20" s="584"/>
      <c r="K20" s="588">
        <f t="shared" si="1"/>
        <v>0</v>
      </c>
      <c r="L20" s="584"/>
    </row>
    <row r="21" spans="1:12" ht="15.75">
      <c r="A21" s="587"/>
      <c r="B21" s="584">
        <v>14</v>
      </c>
      <c r="C21" s="594">
        <v>6.51</v>
      </c>
      <c r="D21" s="584"/>
      <c r="E21" s="584"/>
      <c r="F21" s="584"/>
      <c r="G21" s="584"/>
      <c r="H21" s="584">
        <f t="shared" si="0"/>
        <v>0</v>
      </c>
      <c r="I21" s="584">
        <f t="shared" si="2"/>
        <v>0</v>
      </c>
      <c r="J21" s="584"/>
      <c r="K21" s="588">
        <f t="shared" si="1"/>
        <v>0</v>
      </c>
      <c r="L21" s="584"/>
    </row>
    <row r="22" spans="1:12" ht="15.75">
      <c r="A22" s="587"/>
      <c r="B22" s="584">
        <v>15</v>
      </c>
      <c r="C22" s="594">
        <v>7.36</v>
      </c>
      <c r="D22" s="584"/>
      <c r="E22" s="584"/>
      <c r="F22" s="584"/>
      <c r="G22" s="584"/>
      <c r="H22" s="584">
        <f t="shared" si="0"/>
        <v>0</v>
      </c>
      <c r="I22" s="584">
        <f t="shared" si="2"/>
        <v>0</v>
      </c>
      <c r="J22" s="584"/>
      <c r="K22" s="588">
        <f t="shared" si="1"/>
        <v>0</v>
      </c>
      <c r="L22" s="584"/>
    </row>
    <row r="23" spans="1:12" ht="15.75">
      <c r="A23" s="587"/>
      <c r="B23" s="584">
        <v>16</v>
      </c>
      <c r="C23" s="594">
        <v>8.17</v>
      </c>
      <c r="D23" s="584"/>
      <c r="E23" s="584"/>
      <c r="F23" s="584"/>
      <c r="G23" s="584"/>
      <c r="H23" s="584">
        <f t="shared" si="0"/>
        <v>0</v>
      </c>
      <c r="I23" s="584">
        <f t="shared" si="2"/>
        <v>0</v>
      </c>
      <c r="J23" s="584"/>
      <c r="K23" s="588">
        <f>C23*H23</f>
        <v>0</v>
      </c>
      <c r="L23" s="584"/>
    </row>
    <row r="24" spans="1:12" ht="15.75">
      <c r="A24" s="587"/>
      <c r="B24" s="584">
        <v>17</v>
      </c>
      <c r="C24" s="594">
        <v>9.07</v>
      </c>
      <c r="D24" s="584"/>
      <c r="E24" s="584"/>
      <c r="F24" s="584"/>
      <c r="G24" s="584"/>
      <c r="H24" s="584"/>
      <c r="I24" s="584"/>
      <c r="J24" s="584"/>
      <c r="K24" s="588"/>
      <c r="L24" s="584"/>
    </row>
    <row r="25" spans="1:12" ht="15.75">
      <c r="A25" s="587"/>
      <c r="B25" s="584">
        <v>18</v>
      </c>
      <c r="C25" s="594">
        <v>10.07</v>
      </c>
      <c r="D25" s="584"/>
      <c r="E25" s="584"/>
      <c r="F25" s="584"/>
      <c r="G25" s="584"/>
      <c r="H25" s="584"/>
      <c r="I25" s="584"/>
      <c r="J25" s="584"/>
      <c r="K25" s="588"/>
      <c r="L25" s="584"/>
    </row>
    <row r="26" spans="1:12" ht="15.75">
      <c r="A26" s="587"/>
      <c r="B26" s="584" t="s">
        <v>692</v>
      </c>
      <c r="C26" s="588" t="s">
        <v>249</v>
      </c>
      <c r="D26" s="584">
        <f t="shared" ref="D26:I26" si="3">SUM(D8:D25)</f>
        <v>3.37</v>
      </c>
      <c r="E26" s="584">
        <f t="shared" si="3"/>
        <v>0</v>
      </c>
      <c r="F26" s="584">
        <f t="shared" si="3"/>
        <v>0</v>
      </c>
      <c r="G26" s="584">
        <f t="shared" si="3"/>
        <v>0.86</v>
      </c>
      <c r="H26" s="584">
        <f t="shared" si="3"/>
        <v>4.2300000000000004</v>
      </c>
      <c r="I26" s="584">
        <f t="shared" si="3"/>
        <v>25.450000000000003</v>
      </c>
      <c r="J26" s="588">
        <f>I26/H26</f>
        <v>6.0165484633569744</v>
      </c>
      <c r="K26" s="588">
        <f>SUM(K8:K25)</f>
        <v>10.710599999999999</v>
      </c>
      <c r="L26" s="589">
        <f>K26/H26</f>
        <v>2.5320567375886522</v>
      </c>
    </row>
    <row r="27" spans="1:12" ht="15.75">
      <c r="A27" s="590"/>
      <c r="B27" s="591"/>
      <c r="C27" s="592"/>
      <c r="D27" s="591"/>
      <c r="E27" s="591"/>
      <c r="F27" s="591"/>
      <c r="G27" s="591"/>
      <c r="H27" s="591"/>
      <c r="I27" s="591"/>
      <c r="J27" s="591"/>
      <c r="K27" s="591"/>
    </row>
    <row r="29" spans="1:12">
      <c r="A29" s="701" t="s">
        <v>736</v>
      </c>
      <c r="B29" s="701"/>
      <c r="C29" s="701"/>
      <c r="D29" s="701"/>
      <c r="E29" s="701"/>
      <c r="F29" s="701"/>
      <c r="G29" s="701"/>
      <c r="H29" s="701"/>
    </row>
    <row r="33" spans="3:11">
      <c r="C33" s="701"/>
      <c r="D33" s="701"/>
      <c r="E33" s="701"/>
      <c r="F33" s="701"/>
      <c r="G33" s="701"/>
      <c r="H33" s="701"/>
      <c r="J33" s="702"/>
      <c r="K33" s="702"/>
    </row>
  </sheetData>
  <mergeCells count="14">
    <mergeCell ref="L5:L6"/>
    <mergeCell ref="A29:H29"/>
    <mergeCell ref="C33:H33"/>
    <mergeCell ref="J33:K33"/>
    <mergeCell ref="A1:K1"/>
    <mergeCell ref="A2:K2"/>
    <mergeCell ref="A3:K3"/>
    <mergeCell ref="A5:A6"/>
    <mergeCell ref="B5:B6"/>
    <mergeCell ref="C5:C6"/>
    <mergeCell ref="D5:H5"/>
    <mergeCell ref="I5:I6"/>
    <mergeCell ref="J5:J6"/>
    <mergeCell ref="K5:K6"/>
  </mergeCells>
  <pageMargins left="0.7" right="0.7" top="0.75" bottom="0.75" header="0.3" footer="0.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K47"/>
  <sheetViews>
    <sheetView workbookViewId="0">
      <selection sqref="A1:I41"/>
    </sheetView>
  </sheetViews>
  <sheetFormatPr defaultRowHeight="12.75"/>
  <cols>
    <col min="1" max="1" width="56.28515625" style="170" customWidth="1"/>
    <col min="2" max="2" width="16.28515625" style="170" customWidth="1"/>
    <col min="3" max="3" width="10.28515625" style="170" customWidth="1"/>
    <col min="4" max="4" width="10.28515625" style="170" hidden="1" customWidth="1"/>
    <col min="5" max="5" width="15.7109375" style="170" customWidth="1"/>
    <col min="6" max="6" width="14.28515625" style="170" customWidth="1"/>
    <col min="7" max="7" width="15.28515625" style="170" customWidth="1"/>
    <col min="8" max="8" width="9.42578125" style="170" customWidth="1"/>
    <col min="9" max="9" width="0.140625" style="170" customWidth="1"/>
    <col min="10" max="16384" width="9.140625" style="170"/>
  </cols>
  <sheetData>
    <row r="1" spans="1:9" s="156" customFormat="1" ht="33.6" customHeight="1">
      <c r="A1" s="712" t="s">
        <v>734</v>
      </c>
      <c r="B1" s="713"/>
      <c r="C1" s="713"/>
      <c r="D1" s="713"/>
      <c r="E1" s="713"/>
      <c r="F1" s="713"/>
      <c r="G1" s="713"/>
      <c r="H1" s="713"/>
      <c r="I1" s="713"/>
    </row>
    <row r="2" spans="1:9" s="156" customFormat="1" ht="28.5" customHeight="1">
      <c r="A2" s="714" t="s">
        <v>489</v>
      </c>
      <c r="B2" s="714"/>
      <c r="C2" s="714"/>
      <c r="D2" s="714"/>
      <c r="E2" s="714"/>
      <c r="F2" s="714"/>
      <c r="G2" s="714"/>
      <c r="H2" s="714"/>
      <c r="I2" s="714"/>
    </row>
    <row r="3" spans="1:9" s="156" customFormat="1" ht="25.5" customHeight="1">
      <c r="A3" s="715" t="s">
        <v>490</v>
      </c>
      <c r="B3" s="715"/>
      <c r="C3" s="715"/>
      <c r="D3" s="715"/>
      <c r="E3" s="715"/>
      <c r="F3" s="715"/>
      <c r="G3" s="715"/>
      <c r="H3" s="715"/>
    </row>
    <row r="4" spans="1:9" s="156" customFormat="1" ht="13.9" customHeight="1">
      <c r="A4" s="716" t="s">
        <v>491</v>
      </c>
      <c r="B4" s="716"/>
      <c r="C4" s="716"/>
      <c r="D4" s="716"/>
      <c r="E4" s="716"/>
      <c r="F4" s="716"/>
      <c r="G4" s="716"/>
      <c r="H4" s="716"/>
    </row>
    <row r="5" spans="1:9" s="156" customFormat="1" ht="45">
      <c r="A5" s="157" t="s">
        <v>492</v>
      </c>
      <c r="B5" s="157" t="s">
        <v>354</v>
      </c>
      <c r="C5" s="157" t="s">
        <v>493</v>
      </c>
      <c r="D5" s="157"/>
      <c r="E5" s="157" t="s">
        <v>494</v>
      </c>
      <c r="F5" s="157" t="s">
        <v>495</v>
      </c>
      <c r="G5" s="157" t="s">
        <v>496</v>
      </c>
      <c r="H5" s="157" t="s">
        <v>497</v>
      </c>
    </row>
    <row r="6" spans="1:9" s="156" customFormat="1" ht="10.9" customHeight="1">
      <c r="A6" s="158">
        <v>1</v>
      </c>
      <c r="B6" s="158">
        <v>2</v>
      </c>
      <c r="C6" s="158">
        <v>3</v>
      </c>
      <c r="D6" s="158"/>
      <c r="E6" s="158">
        <v>4</v>
      </c>
      <c r="F6" s="158"/>
      <c r="G6" s="158">
        <v>5</v>
      </c>
      <c r="H6" s="158">
        <v>6</v>
      </c>
    </row>
    <row r="7" spans="1:9" s="156" customFormat="1" ht="30" customHeight="1">
      <c r="A7" s="159" t="s">
        <v>498</v>
      </c>
      <c r="B7" s="160"/>
      <c r="C7" s="177"/>
      <c r="D7" s="176"/>
      <c r="E7" s="240"/>
      <c r="F7" s="162"/>
      <c r="G7" s="163"/>
      <c r="H7" s="164"/>
    </row>
    <row r="8" spans="1:9" s="156" customFormat="1" ht="14.45" customHeight="1">
      <c r="A8" s="165"/>
      <c r="B8" s="161"/>
      <c r="C8" s="177"/>
      <c r="D8" s="241"/>
      <c r="E8" s="242"/>
      <c r="F8" s="166"/>
      <c r="G8" s="167"/>
      <c r="H8" s="164"/>
    </row>
    <row r="9" spans="1:9" s="156" customFormat="1" ht="14.45" customHeight="1">
      <c r="A9" s="165" t="s">
        <v>499</v>
      </c>
      <c r="B9" s="161" t="s">
        <v>45</v>
      </c>
      <c r="C9" s="177">
        <v>100</v>
      </c>
      <c r="D9" s="178"/>
      <c r="E9" s="243">
        <v>5</v>
      </c>
      <c r="F9" s="168">
        <v>0</v>
      </c>
      <c r="G9" s="169">
        <f>F9*E9/C9</f>
        <v>0</v>
      </c>
      <c r="H9" s="164" t="s">
        <v>500</v>
      </c>
    </row>
    <row r="10" spans="1:9" s="156" customFormat="1" ht="14.25" customHeight="1">
      <c r="A10" s="165" t="s">
        <v>501</v>
      </c>
      <c r="B10" s="161" t="s">
        <v>45</v>
      </c>
      <c r="C10" s="177">
        <v>100</v>
      </c>
      <c r="D10" s="178"/>
      <c r="E10" s="243">
        <v>4.5</v>
      </c>
      <c r="F10" s="168">
        <v>2.367</v>
      </c>
      <c r="G10" s="169">
        <f>F10*E10/C10</f>
        <v>0.106515</v>
      </c>
      <c r="H10" s="164" t="s">
        <v>500</v>
      </c>
    </row>
    <row r="11" spans="1:9" ht="14.45" customHeight="1">
      <c r="A11" s="165" t="s">
        <v>502</v>
      </c>
      <c r="B11" s="161" t="s">
        <v>45</v>
      </c>
      <c r="C11" s="177">
        <v>100</v>
      </c>
      <c r="D11" s="237"/>
      <c r="E11" s="243">
        <v>4.5</v>
      </c>
      <c r="F11" s="168">
        <v>0</v>
      </c>
      <c r="G11" s="169">
        <f>F11*E11/C11</f>
        <v>0</v>
      </c>
      <c r="H11" s="164" t="s">
        <v>500</v>
      </c>
    </row>
    <row r="12" spans="1:9" ht="31.9" customHeight="1">
      <c r="A12" s="159" t="s">
        <v>503</v>
      </c>
      <c r="B12" s="160"/>
      <c r="C12" s="177"/>
      <c r="D12" s="176"/>
      <c r="E12" s="243"/>
      <c r="F12" s="168"/>
      <c r="G12" s="169"/>
      <c r="H12" s="164"/>
    </row>
    <row r="13" spans="1:9" ht="14.45" customHeight="1">
      <c r="A13" s="165" t="s">
        <v>504</v>
      </c>
      <c r="B13" s="161" t="s">
        <v>45</v>
      </c>
      <c r="C13" s="177">
        <v>100</v>
      </c>
      <c r="D13" s="241"/>
      <c r="E13" s="243">
        <v>3.5</v>
      </c>
      <c r="F13" s="168">
        <v>0</v>
      </c>
      <c r="G13" s="169">
        <f>F13*E13/C13</f>
        <v>0</v>
      </c>
      <c r="H13" s="164"/>
    </row>
    <row r="14" spans="1:9" ht="14.45" customHeight="1">
      <c r="A14" s="165" t="s">
        <v>505</v>
      </c>
      <c r="B14" s="161" t="s">
        <v>45</v>
      </c>
      <c r="C14" s="177">
        <v>100</v>
      </c>
      <c r="D14" s="178"/>
      <c r="E14" s="243">
        <v>4</v>
      </c>
      <c r="F14" s="168">
        <v>0</v>
      </c>
      <c r="G14" s="169">
        <f t="shared" ref="G14:G23" si="0">F14*E14/C14</f>
        <v>0</v>
      </c>
      <c r="H14" s="164"/>
    </row>
    <row r="15" spans="1:9" ht="13.9" customHeight="1">
      <c r="A15" s="165" t="s">
        <v>501</v>
      </c>
      <c r="B15" s="161" t="s">
        <v>45</v>
      </c>
      <c r="C15" s="177">
        <v>100</v>
      </c>
      <c r="D15" s="178"/>
      <c r="E15" s="243">
        <v>4</v>
      </c>
      <c r="F15" s="168">
        <v>0</v>
      </c>
      <c r="G15" s="169">
        <f t="shared" si="0"/>
        <v>0</v>
      </c>
      <c r="H15" s="171" t="s">
        <v>500</v>
      </c>
    </row>
    <row r="16" spans="1:9" ht="14.45" customHeight="1">
      <c r="A16" s="165" t="s">
        <v>502</v>
      </c>
      <c r="B16" s="161" t="s">
        <v>45</v>
      </c>
      <c r="C16" s="177">
        <v>100</v>
      </c>
      <c r="D16" s="237"/>
      <c r="E16" s="243">
        <v>4.5</v>
      </c>
      <c r="F16" s="168">
        <v>0</v>
      </c>
      <c r="G16" s="169">
        <f t="shared" si="0"/>
        <v>0</v>
      </c>
      <c r="H16" s="164"/>
    </row>
    <row r="17" spans="1:11" ht="16.5" customHeight="1">
      <c r="A17" s="172" t="s">
        <v>506</v>
      </c>
      <c r="B17" s="161" t="s">
        <v>45</v>
      </c>
      <c r="C17" s="177">
        <v>100</v>
      </c>
      <c r="D17" s="244"/>
      <c r="E17" s="243">
        <v>3</v>
      </c>
      <c r="F17" s="180">
        <f>'Прил. 2 П2.1'!I50</f>
        <v>10.327999999999999</v>
      </c>
      <c r="G17" s="169">
        <f t="shared" si="0"/>
        <v>0.30984</v>
      </c>
      <c r="H17" s="707" t="s">
        <v>507</v>
      </c>
    </row>
    <row r="18" spans="1:11" ht="17.25" customHeight="1">
      <c r="A18" s="172" t="s">
        <v>508</v>
      </c>
      <c r="B18" s="161" t="s">
        <v>45</v>
      </c>
      <c r="C18" s="177">
        <v>100</v>
      </c>
      <c r="D18" s="245"/>
      <c r="E18" s="243">
        <v>3.5</v>
      </c>
      <c r="F18" s="168">
        <v>8.6839999999999993</v>
      </c>
      <c r="G18" s="169">
        <f t="shared" si="0"/>
        <v>0.30393999999999999</v>
      </c>
      <c r="H18" s="709"/>
    </row>
    <row r="19" spans="1:11" ht="14.45" customHeight="1">
      <c r="A19" s="172" t="s">
        <v>509</v>
      </c>
      <c r="B19" s="161" t="s">
        <v>510</v>
      </c>
      <c r="C19" s="177">
        <v>10000</v>
      </c>
      <c r="D19" s="176"/>
      <c r="E19" s="176">
        <v>2</v>
      </c>
      <c r="F19" s="180">
        <v>205</v>
      </c>
      <c r="G19" s="169">
        <f t="shared" si="0"/>
        <v>4.1000000000000002E-2</v>
      </c>
      <c r="H19" s="171" t="s">
        <v>511</v>
      </c>
    </row>
    <row r="20" spans="1:11" ht="14.45" customHeight="1">
      <c r="A20" s="172" t="s">
        <v>512</v>
      </c>
      <c r="B20" s="161" t="s">
        <v>510</v>
      </c>
      <c r="C20" s="177">
        <v>100</v>
      </c>
      <c r="D20" s="241"/>
      <c r="E20" s="238">
        <v>2.7</v>
      </c>
      <c r="F20" s="168">
        <f>'Прил.2 П2.2'!G47</f>
        <v>0</v>
      </c>
      <c r="G20" s="169">
        <f t="shared" si="0"/>
        <v>0</v>
      </c>
      <c r="H20" s="707" t="s">
        <v>513</v>
      </c>
    </row>
    <row r="21" spans="1:11" ht="27.6" customHeight="1">
      <c r="A21" s="173" t="s">
        <v>514</v>
      </c>
      <c r="B21" s="163" t="s">
        <v>510</v>
      </c>
      <c r="C21" s="177">
        <v>100</v>
      </c>
      <c r="D21" s="178"/>
      <c r="E21" s="179">
        <v>2.5</v>
      </c>
      <c r="F21" s="180">
        <f>'Прил.2 П2.2'!G48</f>
        <v>8</v>
      </c>
      <c r="G21" s="169">
        <f t="shared" si="0"/>
        <v>0.2</v>
      </c>
      <c r="H21" s="717"/>
    </row>
    <row r="22" spans="1:11" ht="30.75" customHeight="1">
      <c r="A22" s="173" t="s">
        <v>515</v>
      </c>
      <c r="B22" s="163" t="s">
        <v>510</v>
      </c>
      <c r="C22" s="177">
        <v>100</v>
      </c>
      <c r="D22" s="237"/>
      <c r="E22" s="179">
        <v>3</v>
      </c>
      <c r="F22" s="180">
        <f>'Прил.2 П2.2'!G49</f>
        <v>11</v>
      </c>
      <c r="G22" s="169">
        <f t="shared" si="0"/>
        <v>0.33</v>
      </c>
      <c r="H22" s="717"/>
    </row>
    <row r="23" spans="1:11" ht="16.5" customHeight="1">
      <c r="A23" s="172" t="s">
        <v>516</v>
      </c>
      <c r="B23" s="161" t="s">
        <v>510</v>
      </c>
      <c r="C23" s="177">
        <v>100</v>
      </c>
      <c r="D23" s="176"/>
      <c r="E23" s="238">
        <v>1.2</v>
      </c>
      <c r="F23" s="180">
        <v>18</v>
      </c>
      <c r="G23" s="169">
        <f t="shared" si="0"/>
        <v>0.21599999999999997</v>
      </c>
      <c r="H23" s="718"/>
      <c r="K23" s="170" t="s">
        <v>517</v>
      </c>
    </row>
    <row r="24" spans="1:11" ht="15.75" customHeight="1">
      <c r="A24" s="172" t="s">
        <v>518</v>
      </c>
      <c r="B24" s="161" t="s">
        <v>510</v>
      </c>
      <c r="C24" s="177">
        <v>1</v>
      </c>
      <c r="D24" s="176"/>
      <c r="E24" s="238">
        <v>4</v>
      </c>
      <c r="F24" s="180">
        <v>0</v>
      </c>
      <c r="G24" s="181">
        <f>F24*E24/C24</f>
        <v>0</v>
      </c>
      <c r="H24" s="164"/>
    </row>
    <row r="25" spans="1:11" ht="19.5" customHeight="1">
      <c r="A25" s="172" t="s">
        <v>519</v>
      </c>
      <c r="B25" s="161" t="s">
        <v>510</v>
      </c>
      <c r="C25" s="177">
        <v>100</v>
      </c>
      <c r="D25" s="176"/>
      <c r="E25" s="238">
        <v>3</v>
      </c>
      <c r="F25" s="168">
        <v>0</v>
      </c>
      <c r="G25" s="181">
        <f>F25*E25/C25</f>
        <v>0</v>
      </c>
      <c r="H25" s="164" t="s">
        <v>520</v>
      </c>
    </row>
    <row r="26" spans="1:11" ht="14.45" customHeight="1">
      <c r="A26" s="174" t="s">
        <v>521</v>
      </c>
      <c r="B26" s="160"/>
      <c r="C26" s="177"/>
      <c r="D26" s="241"/>
      <c r="E26" s="238"/>
      <c r="F26" s="168"/>
      <c r="G26" s="169"/>
      <c r="H26" s="707" t="s">
        <v>522</v>
      </c>
    </row>
    <row r="27" spans="1:11" s="182" customFormat="1" ht="14.45" customHeight="1">
      <c r="A27" s="175" t="s">
        <v>523</v>
      </c>
      <c r="B27" s="176" t="s">
        <v>510</v>
      </c>
      <c r="C27" s="177">
        <v>1000</v>
      </c>
      <c r="D27" s="178"/>
      <c r="E27" s="179">
        <v>2.5</v>
      </c>
      <c r="F27" s="180">
        <v>0</v>
      </c>
      <c r="G27" s="181">
        <f>F27*E27/C27</f>
        <v>0</v>
      </c>
      <c r="H27" s="708"/>
    </row>
    <row r="28" spans="1:11" ht="16.149999999999999" customHeight="1">
      <c r="A28" s="165" t="s">
        <v>524</v>
      </c>
      <c r="B28" s="161" t="s">
        <v>510</v>
      </c>
      <c r="C28" s="177">
        <v>1000</v>
      </c>
      <c r="D28" s="178"/>
      <c r="E28" s="179">
        <v>2</v>
      </c>
      <c r="F28" s="643">
        <v>149</v>
      </c>
      <c r="G28" s="181">
        <f>F28*E28/C28</f>
        <v>0.29799999999999999</v>
      </c>
      <c r="H28" s="708"/>
    </row>
    <row r="29" spans="1:11" ht="18.75" customHeight="1">
      <c r="A29" s="165" t="s">
        <v>525</v>
      </c>
      <c r="B29" s="161" t="s">
        <v>510</v>
      </c>
      <c r="C29" s="177">
        <v>1000</v>
      </c>
      <c r="D29" s="237"/>
      <c r="E29" s="179">
        <v>2</v>
      </c>
      <c r="F29" s="643">
        <v>14</v>
      </c>
      <c r="G29" s="181">
        <f>F29*E29/C29</f>
        <v>2.8000000000000001E-2</v>
      </c>
      <c r="H29" s="709"/>
    </row>
    <row r="30" spans="1:11" ht="14.45" customHeight="1">
      <c r="A30" s="183" t="s">
        <v>526</v>
      </c>
      <c r="B30" s="160"/>
      <c r="C30" s="177"/>
      <c r="D30" s="176"/>
      <c r="E30" s="176"/>
      <c r="F30" s="168"/>
      <c r="G30" s="169"/>
      <c r="H30" s="164"/>
    </row>
    <row r="31" spans="1:11" ht="24" customHeight="1">
      <c r="A31" s="184" t="s">
        <v>527</v>
      </c>
      <c r="B31" s="163" t="s">
        <v>510</v>
      </c>
      <c r="C31" s="177">
        <v>10000</v>
      </c>
      <c r="D31" s="176"/>
      <c r="E31" s="176">
        <v>3.5</v>
      </c>
      <c r="F31" s="168">
        <v>0</v>
      </c>
      <c r="G31" s="169">
        <f>F31*E31/C31</f>
        <v>0</v>
      </c>
      <c r="H31" s="164" t="s">
        <v>528</v>
      </c>
    </row>
    <row r="32" spans="1:11" ht="14.45" customHeight="1">
      <c r="A32" s="165" t="s">
        <v>529</v>
      </c>
      <c r="B32" s="163" t="s">
        <v>510</v>
      </c>
      <c r="C32" s="177">
        <v>10000</v>
      </c>
      <c r="D32" s="176"/>
      <c r="E32" s="176">
        <v>3.2</v>
      </c>
      <c r="F32" s="168">
        <v>0</v>
      </c>
      <c r="G32" s="169">
        <f>F32*E32/C32</f>
        <v>0</v>
      </c>
      <c r="H32" s="164"/>
    </row>
    <row r="33" spans="1:8" ht="14.45" customHeight="1">
      <c r="A33" s="172" t="s">
        <v>530</v>
      </c>
      <c r="B33" s="163" t="s">
        <v>510</v>
      </c>
      <c r="C33" s="177">
        <v>1000</v>
      </c>
      <c r="D33" s="176"/>
      <c r="E33" s="176">
        <v>2.6</v>
      </c>
      <c r="F33" s="168">
        <v>0</v>
      </c>
      <c r="G33" s="169">
        <f>F33*E33/C33</f>
        <v>0</v>
      </c>
      <c r="H33" s="164" t="s">
        <v>531</v>
      </c>
    </row>
    <row r="34" spans="1:8" ht="14.45" customHeight="1">
      <c r="A34" s="172" t="s">
        <v>532</v>
      </c>
      <c r="B34" s="163"/>
      <c r="C34" s="177"/>
      <c r="D34" s="176"/>
      <c r="E34" s="176"/>
      <c r="F34" s="168"/>
      <c r="G34" s="169"/>
      <c r="H34" s="164"/>
    </row>
    <row r="35" spans="1:8" ht="14.45" customHeight="1">
      <c r="A35" s="165" t="s">
        <v>533</v>
      </c>
      <c r="B35" s="163" t="s">
        <v>510</v>
      </c>
      <c r="C35" s="177">
        <v>10000</v>
      </c>
      <c r="D35" s="241"/>
      <c r="E35" s="238">
        <v>2.2999999999999998</v>
      </c>
      <c r="F35" s="168">
        <v>0</v>
      </c>
      <c r="G35" s="169">
        <f>F35*E35/C35</f>
        <v>0</v>
      </c>
      <c r="H35" s="164" t="s">
        <v>534</v>
      </c>
    </row>
    <row r="36" spans="1:8" ht="14.45" customHeight="1">
      <c r="A36" s="165" t="s">
        <v>535</v>
      </c>
      <c r="B36" s="163" t="s">
        <v>510</v>
      </c>
      <c r="C36" s="177">
        <v>10000</v>
      </c>
      <c r="D36" s="178"/>
      <c r="E36" s="179">
        <v>6</v>
      </c>
      <c r="F36" s="168">
        <v>0</v>
      </c>
      <c r="G36" s="169">
        <f>F36*E36/C36</f>
        <v>0</v>
      </c>
      <c r="H36" s="164"/>
    </row>
    <row r="37" spans="1:8" ht="14.45" customHeight="1">
      <c r="A37" s="172" t="s">
        <v>536</v>
      </c>
      <c r="B37" s="161" t="s">
        <v>366</v>
      </c>
      <c r="C37" s="177">
        <v>1000</v>
      </c>
      <c r="D37" s="178"/>
      <c r="E37" s="179">
        <v>9.5</v>
      </c>
      <c r="F37" s="168">
        <f>'Прил.2 П2.2'!G33+'Прил.2 П2.2'!G34+'Прил.2 П2.2'!G35+'Прил.2 П2.2'!G36</f>
        <v>0</v>
      </c>
      <c r="G37" s="169">
        <f>F37*E37/C37</f>
        <v>0</v>
      </c>
      <c r="H37" s="171" t="s">
        <v>537</v>
      </c>
    </row>
    <row r="38" spans="1:8" ht="31.5" customHeight="1">
      <c r="A38" s="185" t="s">
        <v>538</v>
      </c>
      <c r="B38" s="163" t="s">
        <v>510</v>
      </c>
      <c r="C38" s="177">
        <v>1000</v>
      </c>
      <c r="D38" s="237"/>
      <c r="E38" s="179">
        <v>4</v>
      </c>
      <c r="F38" s="180">
        <f>'Прил.2 П2.2'!G42+'Прил.2 П2.2'!G25+'Прил.2 П2.2'!G26+'Прил.2 П2.2'!G27+'Прил.2 П2.2'!G28+'Прил.2 П2.2'!G29+'Прил.2 П2.2'!G30+'Прил.2 П2.2'!G31+'Прил.2 П2.2'!G32</f>
        <v>150</v>
      </c>
      <c r="G38" s="169">
        <f>F38*E38/C38</f>
        <v>0.6</v>
      </c>
      <c r="H38" s="171" t="s">
        <v>537</v>
      </c>
    </row>
    <row r="39" spans="1:8" ht="18" customHeight="1">
      <c r="A39" s="172" t="s">
        <v>539</v>
      </c>
      <c r="B39" s="161" t="s">
        <v>540</v>
      </c>
      <c r="C39" s="177">
        <v>1000</v>
      </c>
      <c r="D39" s="214"/>
      <c r="E39" s="176">
        <v>1</v>
      </c>
      <c r="F39" s="168">
        <f>'Прил. 2 П2.1'!J56+'Прил.2 П2.2'!H55</f>
        <v>457.99339999999995</v>
      </c>
      <c r="G39" s="169">
        <f>F39*E39/C39</f>
        <v>0.45799339999999994</v>
      </c>
      <c r="H39" s="171" t="s">
        <v>541</v>
      </c>
    </row>
    <row r="40" spans="1:8" ht="14.45" customHeight="1">
      <c r="A40" s="710" t="s">
        <v>409</v>
      </c>
      <c r="B40" s="711"/>
      <c r="C40" s="176"/>
      <c r="D40" s="176"/>
      <c r="E40" s="240"/>
      <c r="F40" s="186"/>
      <c r="G40" s="187">
        <f>SUM(G7:G39)</f>
        <v>2.8912884000000001</v>
      </c>
      <c r="H40" s="164"/>
    </row>
    <row r="41" spans="1:8" ht="29.25" customHeight="1">
      <c r="A41" s="188" t="s">
        <v>542</v>
      </c>
      <c r="B41" s="161" t="s">
        <v>543</v>
      </c>
      <c r="C41" s="249">
        <v>1.18</v>
      </c>
      <c r="D41" s="176"/>
      <c r="E41" s="240"/>
      <c r="F41" s="186"/>
      <c r="G41" s="187">
        <f>G40*C41</f>
        <v>3.4117203119999999</v>
      </c>
      <c r="H41" s="189" t="s">
        <v>544</v>
      </c>
    </row>
    <row r="42" spans="1:8" ht="30.75" hidden="1" customHeight="1">
      <c r="A42" s="188" t="s">
        <v>545</v>
      </c>
      <c r="B42" s="161" t="s">
        <v>543</v>
      </c>
      <c r="C42" s="176">
        <v>1.04</v>
      </c>
      <c r="D42" s="176"/>
      <c r="E42" s="240"/>
      <c r="F42" s="186"/>
      <c r="G42" s="187">
        <f>G41*C42</f>
        <v>3.5481891244799999</v>
      </c>
      <c r="H42" s="189" t="s">
        <v>546</v>
      </c>
    </row>
    <row r="43" spans="1:8" ht="30" hidden="1" customHeight="1">
      <c r="A43" s="188" t="s">
        <v>542</v>
      </c>
      <c r="B43" s="161" t="s">
        <v>543</v>
      </c>
      <c r="C43" s="176">
        <v>1.26</v>
      </c>
      <c r="D43" s="176"/>
      <c r="E43" s="240"/>
      <c r="F43" s="162"/>
      <c r="G43" s="190">
        <f>G42*C43</f>
        <v>4.4707182968448</v>
      </c>
      <c r="H43" s="189" t="s">
        <v>544</v>
      </c>
    </row>
    <row r="44" spans="1:8" ht="15">
      <c r="A44" s="191"/>
      <c r="B44" s="191"/>
      <c r="C44" s="246"/>
      <c r="D44" s="246"/>
      <c r="E44" s="247"/>
      <c r="F44" s="192"/>
      <c r="G44" s="193"/>
      <c r="H44" s="194"/>
    </row>
    <row r="45" spans="1:8" ht="18.75">
      <c r="A45" s="195"/>
      <c r="B45" s="195"/>
      <c r="C45" s="248"/>
      <c r="D45" s="248"/>
      <c r="E45" s="248"/>
      <c r="F45" s="195"/>
    </row>
    <row r="46" spans="1:8" ht="18.75">
      <c r="A46" s="196"/>
      <c r="B46" s="195"/>
      <c r="C46" s="248"/>
      <c r="D46" s="248"/>
      <c r="E46" s="248"/>
      <c r="F46" s="196"/>
    </row>
    <row r="47" spans="1:8">
      <c r="C47" s="182"/>
      <c r="D47" s="182"/>
      <c r="E47" s="182"/>
    </row>
  </sheetData>
  <mergeCells count="8">
    <mergeCell ref="H26:H29"/>
    <mergeCell ref="A40:B40"/>
    <mergeCell ref="A1:I1"/>
    <mergeCell ref="A2:I2"/>
    <mergeCell ref="A3:H3"/>
    <mergeCell ref="A4:H4"/>
    <mergeCell ref="H17:H18"/>
    <mergeCell ref="H20:H23"/>
  </mergeCells>
  <phoneticPr fontId="23" type="noConversion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theme="4"/>
  </sheetPr>
  <dimension ref="A1:Q47"/>
  <sheetViews>
    <sheetView topLeftCell="C7" workbookViewId="0">
      <selection activeCell="R24" sqref="R24"/>
    </sheetView>
  </sheetViews>
  <sheetFormatPr defaultRowHeight="11.25"/>
  <cols>
    <col min="1" max="1" width="0" style="373" hidden="1" customWidth="1"/>
    <col min="2" max="2" width="1.28515625" style="373" customWidth="1"/>
    <col min="3" max="3" width="2.7109375" style="375" customWidth="1"/>
    <col min="4" max="4" width="6.42578125" style="375" customWidth="1"/>
    <col min="5" max="5" width="29.5703125" style="375" customWidth="1"/>
    <col min="6" max="6" width="14.28515625" style="415" customWidth="1"/>
    <col min="7" max="7" width="13.85546875" style="415" customWidth="1"/>
    <col min="8" max="8" width="10" style="375" customWidth="1"/>
    <col min="9" max="9" width="12.42578125" style="375" customWidth="1"/>
    <col min="10" max="10" width="10.28515625" style="375" customWidth="1"/>
    <col min="11" max="11" width="2.7109375" style="375" customWidth="1"/>
    <col min="12" max="16384" width="9.140625" style="375"/>
  </cols>
  <sheetData>
    <row r="1" spans="1:17" s="371" customFormat="1" hidden="1">
      <c r="A1" s="370" t="e">
        <f>#REF!</f>
        <v>#REF!</v>
      </c>
      <c r="B1" s="370" t="e">
        <f>#REF!</f>
        <v>#REF!</v>
      </c>
      <c r="C1" s="370" t="e">
        <f>#REF!</f>
        <v>#REF!</v>
      </c>
      <c r="Q1" s="372"/>
    </row>
    <row r="2" spans="1:17" s="371" customFormat="1" hidden="1">
      <c r="A2" s="370" t="e">
        <f>#REF!</f>
        <v>#REF!</v>
      </c>
      <c r="B2" s="370" t="e">
        <f>#REF!</f>
        <v>#REF!</v>
      </c>
      <c r="C2" s="370"/>
      <c r="Q2" s="372"/>
    </row>
    <row r="3" spans="1:17" s="371" customFormat="1" hidden="1">
      <c r="A3" s="370" t="e">
        <f>#REF!</f>
        <v>#REF!</v>
      </c>
      <c r="B3" s="370" t="e">
        <f>#REF!</f>
        <v>#REF!</v>
      </c>
      <c r="C3" s="370"/>
      <c r="Q3" s="372"/>
    </row>
    <row r="4" spans="1:17" s="371" customFormat="1" hidden="1">
      <c r="A4" s="370" t="e">
        <f>#REF!</f>
        <v>#REF!</v>
      </c>
      <c r="B4" s="370" t="e">
        <f>#REF!</f>
        <v>#REF!</v>
      </c>
      <c r="C4" s="370"/>
      <c r="Q4" s="372"/>
    </row>
    <row r="5" spans="1:17" s="371" customFormat="1" hidden="1">
      <c r="Q5" s="372"/>
    </row>
    <row r="6" spans="1:17" s="373" customFormat="1" hidden="1">
      <c r="F6" s="374"/>
      <c r="G6" s="374"/>
    </row>
    <row r="7" spans="1:17">
      <c r="J7" s="375" t="s">
        <v>693</v>
      </c>
    </row>
    <row r="8" spans="1:17" ht="11.25" customHeight="1">
      <c r="C8" s="724" t="s">
        <v>178</v>
      </c>
      <c r="D8" s="725"/>
      <c r="E8" s="725"/>
      <c r="F8" s="725"/>
      <c r="G8" s="725"/>
      <c r="H8" s="725"/>
      <c r="I8" s="725"/>
      <c r="J8" s="725"/>
      <c r="K8" s="726"/>
    </row>
    <row r="9" spans="1:17" ht="11.25" customHeight="1">
      <c r="C9" s="727"/>
      <c r="D9" s="728"/>
      <c r="E9" s="728"/>
      <c r="F9" s="728"/>
      <c r="G9" s="728"/>
      <c r="H9" s="728"/>
      <c r="I9" s="728"/>
      <c r="J9" s="728"/>
      <c r="K9" s="729"/>
    </row>
    <row r="10" spans="1:17" ht="11.25" customHeight="1">
      <c r="C10" s="376"/>
      <c r="D10" s="719" t="s">
        <v>734</v>
      </c>
      <c r="E10" s="719"/>
      <c r="F10" s="719"/>
      <c r="G10" s="719"/>
      <c r="H10" s="719"/>
      <c r="I10" s="719"/>
      <c r="J10" s="603"/>
      <c r="K10" s="378"/>
    </row>
    <row r="11" spans="1:17" ht="11.25" customHeight="1" thickBot="1">
      <c r="C11" s="376"/>
      <c r="D11" s="379"/>
      <c r="E11" s="379"/>
      <c r="F11" s="379"/>
      <c r="G11" s="379"/>
      <c r="H11" s="379"/>
      <c r="I11" s="379"/>
      <c r="J11" s="603"/>
      <c r="K11" s="378"/>
    </row>
    <row r="12" spans="1:17" ht="33.75">
      <c r="C12" s="376"/>
      <c r="D12" s="380" t="s">
        <v>179</v>
      </c>
      <c r="E12" s="381" t="s">
        <v>4</v>
      </c>
      <c r="F12" s="381" t="s">
        <v>180</v>
      </c>
      <c r="G12" s="382" t="s">
        <v>181</v>
      </c>
      <c r="H12" s="382" t="s">
        <v>6</v>
      </c>
      <c r="I12" s="383" t="s">
        <v>809</v>
      </c>
      <c r="J12" s="384" t="s">
        <v>621</v>
      </c>
      <c r="K12" s="378"/>
    </row>
    <row r="13" spans="1:17">
      <c r="C13" s="376"/>
      <c r="D13" s="385">
        <v>1</v>
      </c>
      <c r="E13" s="386">
        <v>2</v>
      </c>
      <c r="F13" s="386">
        <v>3</v>
      </c>
      <c r="G13" s="386">
        <v>4</v>
      </c>
      <c r="H13" s="386">
        <v>5</v>
      </c>
      <c r="I13" s="387">
        <v>6</v>
      </c>
      <c r="J13" s="388"/>
      <c r="K13" s="378"/>
    </row>
    <row r="14" spans="1:17" ht="12" customHeight="1">
      <c r="C14" s="376"/>
      <c r="D14" s="389" t="s">
        <v>182</v>
      </c>
      <c r="E14" s="390" t="s">
        <v>183</v>
      </c>
      <c r="F14" s="386" t="s">
        <v>184</v>
      </c>
      <c r="G14" s="391"/>
      <c r="H14" s="391"/>
      <c r="I14" s="392">
        <f>'численность ПП'!G41</f>
        <v>3.4117203119999999</v>
      </c>
      <c r="J14" s="388"/>
      <c r="K14" s="378"/>
    </row>
    <row r="15" spans="1:17" ht="13.5" customHeight="1">
      <c r="C15" s="376"/>
      <c r="D15" s="389" t="s">
        <v>185</v>
      </c>
      <c r="E15" s="393" t="s">
        <v>186</v>
      </c>
      <c r="F15" s="386"/>
      <c r="G15" s="394"/>
      <c r="H15" s="394"/>
      <c r="I15" s="395"/>
      <c r="J15" s="388"/>
      <c r="K15" s="378"/>
    </row>
    <row r="16" spans="1:17" ht="23.25" customHeight="1">
      <c r="C16" s="376"/>
      <c r="D16" s="396" t="s">
        <v>187</v>
      </c>
      <c r="E16" s="393" t="s">
        <v>188</v>
      </c>
      <c r="F16" s="386" t="s">
        <v>189</v>
      </c>
      <c r="G16" s="391"/>
      <c r="H16" s="391"/>
      <c r="I16" s="392">
        <v>7432</v>
      </c>
      <c r="J16" s="730" t="s">
        <v>696</v>
      </c>
      <c r="K16" s="378"/>
    </row>
    <row r="17" spans="3:13" ht="17.25" customHeight="1">
      <c r="C17" s="376"/>
      <c r="D17" s="396"/>
      <c r="E17" s="397" t="s">
        <v>190</v>
      </c>
      <c r="F17" s="386"/>
      <c r="G17" s="391"/>
      <c r="H17" s="391"/>
      <c r="I17" s="392">
        <v>1.0489999999999999</v>
      </c>
      <c r="J17" s="731"/>
      <c r="K17" s="378"/>
    </row>
    <row r="18" spans="3:13" ht="27" customHeight="1">
      <c r="C18" s="376"/>
      <c r="D18" s="396"/>
      <c r="E18" s="397" t="s">
        <v>191</v>
      </c>
      <c r="F18" s="386" t="s">
        <v>189</v>
      </c>
      <c r="G18" s="398">
        <v>0</v>
      </c>
      <c r="H18" s="398">
        <f>H16*H17</f>
        <v>0</v>
      </c>
      <c r="I18" s="395">
        <f>I16*I17</f>
        <v>7796.1679999999997</v>
      </c>
      <c r="J18" s="731"/>
      <c r="K18" s="378"/>
    </row>
    <row r="19" spans="3:13">
      <c r="C19" s="376"/>
      <c r="D19" s="389" t="s">
        <v>192</v>
      </c>
      <c r="E19" s="393" t="s">
        <v>193</v>
      </c>
      <c r="F19" s="386"/>
      <c r="G19" s="391"/>
      <c r="H19" s="391"/>
      <c r="I19" s="392">
        <v>1</v>
      </c>
      <c r="J19" s="731"/>
      <c r="K19" s="378"/>
    </row>
    <row r="20" spans="3:13" ht="25.5" customHeight="1">
      <c r="C20" s="376"/>
      <c r="D20" s="389" t="s">
        <v>194</v>
      </c>
      <c r="E20" s="393" t="s">
        <v>195</v>
      </c>
      <c r="F20" s="386" t="s">
        <v>189</v>
      </c>
      <c r="G20" s="398">
        <f>G18*G19</f>
        <v>0</v>
      </c>
      <c r="H20" s="398">
        <f>H18*H19</f>
        <v>0</v>
      </c>
      <c r="I20" s="395">
        <f>I18*I19</f>
        <v>7796.1679999999997</v>
      </c>
      <c r="J20" s="731"/>
      <c r="K20" s="378"/>
    </row>
    <row r="21" spans="3:13">
      <c r="C21" s="376"/>
      <c r="D21" s="389" t="s">
        <v>196</v>
      </c>
      <c r="E21" s="399" t="s">
        <v>197</v>
      </c>
      <c r="F21" s="386"/>
      <c r="G21" s="391"/>
      <c r="H21" s="391"/>
      <c r="I21" s="392">
        <v>5</v>
      </c>
      <c r="J21" s="731"/>
      <c r="K21" s="378"/>
    </row>
    <row r="22" spans="3:13" ht="33.75">
      <c r="C22" s="376"/>
      <c r="D22" s="389" t="s">
        <v>198</v>
      </c>
      <c r="E22" s="393" t="s">
        <v>199</v>
      </c>
      <c r="F22" s="386"/>
      <c r="G22" s="391"/>
      <c r="H22" s="391"/>
      <c r="I22" s="646">
        <v>2.16</v>
      </c>
      <c r="J22" s="731"/>
      <c r="K22" s="378"/>
      <c r="L22" s="645">
        <v>1.62</v>
      </c>
      <c r="M22" s="375" t="s">
        <v>807</v>
      </c>
    </row>
    <row r="23" spans="3:13" ht="22.5">
      <c r="C23" s="376"/>
      <c r="D23" s="389" t="s">
        <v>200</v>
      </c>
      <c r="E23" s="393" t="s">
        <v>201</v>
      </c>
      <c r="F23" s="386"/>
      <c r="G23" s="398">
        <f>G20*G22</f>
        <v>0</v>
      </c>
      <c r="H23" s="398">
        <f>H20*H22</f>
        <v>0</v>
      </c>
      <c r="I23" s="395">
        <f>I22*I17*I16</f>
        <v>16839.722879999998</v>
      </c>
      <c r="J23" s="731"/>
      <c r="K23" s="378"/>
    </row>
    <row r="24" spans="3:13" ht="33.75">
      <c r="C24" s="376"/>
      <c r="D24" s="389" t="s">
        <v>202</v>
      </c>
      <c r="E24" s="393" t="s">
        <v>203</v>
      </c>
      <c r="F24" s="386"/>
      <c r="G24" s="394"/>
      <c r="H24" s="394"/>
      <c r="I24" s="395"/>
      <c r="J24" s="731"/>
      <c r="K24" s="378"/>
    </row>
    <row r="25" spans="3:13" ht="12.75" customHeight="1">
      <c r="C25" s="376"/>
      <c r="D25" s="389" t="s">
        <v>204</v>
      </c>
      <c r="E25" s="393" t="s">
        <v>205</v>
      </c>
      <c r="F25" s="386" t="s">
        <v>51</v>
      </c>
      <c r="G25" s="391"/>
      <c r="H25" s="391"/>
      <c r="I25" s="392">
        <v>0</v>
      </c>
      <c r="J25" s="731"/>
      <c r="K25" s="378"/>
    </row>
    <row r="26" spans="3:13" ht="12.75" customHeight="1">
      <c r="C26" s="376"/>
      <c r="D26" s="389" t="s">
        <v>206</v>
      </c>
      <c r="E26" s="393" t="s">
        <v>207</v>
      </c>
      <c r="F26" s="386" t="s">
        <v>189</v>
      </c>
      <c r="G26" s="398">
        <f>G23*G25/100</f>
        <v>0</v>
      </c>
      <c r="H26" s="398">
        <f>H23*H25/100</f>
        <v>0</v>
      </c>
      <c r="I26" s="395">
        <f>I23*I25/100</f>
        <v>0</v>
      </c>
      <c r="J26" s="731"/>
      <c r="K26" s="378"/>
    </row>
    <row r="27" spans="3:13" ht="13.5" customHeight="1">
      <c r="C27" s="376"/>
      <c r="D27" s="389" t="s">
        <v>208</v>
      </c>
      <c r="E27" s="393" t="s">
        <v>209</v>
      </c>
      <c r="F27" s="386"/>
      <c r="G27" s="394"/>
      <c r="H27" s="394"/>
      <c r="I27" s="395"/>
      <c r="J27" s="731"/>
      <c r="K27" s="378"/>
    </row>
    <row r="28" spans="3:13" ht="12.75" customHeight="1">
      <c r="C28" s="376"/>
      <c r="D28" s="389" t="s">
        <v>210</v>
      </c>
      <c r="E28" s="393" t="s">
        <v>205</v>
      </c>
      <c r="F28" s="386" t="s">
        <v>51</v>
      </c>
      <c r="G28" s="391"/>
      <c r="H28" s="391"/>
      <c r="I28" s="646">
        <v>75</v>
      </c>
      <c r="J28" s="731"/>
      <c r="K28" s="378"/>
    </row>
    <row r="29" spans="3:13" ht="12.75" customHeight="1">
      <c r="C29" s="376"/>
      <c r="D29" s="389" t="s">
        <v>211</v>
      </c>
      <c r="E29" s="393" t="s">
        <v>207</v>
      </c>
      <c r="F29" s="386" t="s">
        <v>189</v>
      </c>
      <c r="G29" s="398">
        <f>(G23+G26)*G28/100</f>
        <v>0</v>
      </c>
      <c r="H29" s="398">
        <f>(H23+H26)*H28/100</f>
        <v>0</v>
      </c>
      <c r="I29" s="395">
        <f>(I23+I26)*I28/100</f>
        <v>12629.792159999997</v>
      </c>
      <c r="J29" s="731"/>
      <c r="K29" s="378"/>
    </row>
    <row r="30" spans="3:13" ht="12.75" customHeight="1">
      <c r="C30" s="376"/>
      <c r="D30" s="389" t="s">
        <v>212</v>
      </c>
      <c r="E30" s="393" t="s">
        <v>213</v>
      </c>
      <c r="F30" s="386"/>
      <c r="G30" s="394"/>
      <c r="H30" s="394"/>
      <c r="I30" s="395"/>
      <c r="J30" s="731"/>
      <c r="K30" s="378"/>
    </row>
    <row r="31" spans="3:13" ht="13.5" customHeight="1">
      <c r="C31" s="376"/>
      <c r="D31" s="389" t="s">
        <v>214</v>
      </c>
      <c r="E31" s="393" t="s">
        <v>205</v>
      </c>
      <c r="F31" s="386" t="s">
        <v>51</v>
      </c>
      <c r="G31" s="391"/>
      <c r="H31" s="391"/>
      <c r="I31" s="392">
        <v>15</v>
      </c>
      <c r="J31" s="731"/>
      <c r="K31" s="378"/>
    </row>
    <row r="32" spans="3:13" ht="12" customHeight="1">
      <c r="C32" s="376"/>
      <c r="D32" s="389" t="s">
        <v>215</v>
      </c>
      <c r="E32" s="393" t="s">
        <v>207</v>
      </c>
      <c r="F32" s="386" t="s">
        <v>189</v>
      </c>
      <c r="G32" s="398">
        <f>G23*G31/100</f>
        <v>0</v>
      </c>
      <c r="H32" s="398">
        <f>H23*H31/100</f>
        <v>0</v>
      </c>
      <c r="I32" s="395">
        <f>I23*I31/100</f>
        <v>2525.9584319999999</v>
      </c>
      <c r="J32" s="731"/>
      <c r="K32" s="378"/>
    </row>
    <row r="33" spans="1:12" ht="11.25" customHeight="1">
      <c r="C33" s="376"/>
      <c r="D33" s="389" t="s">
        <v>216</v>
      </c>
      <c r="E33" s="393" t="s">
        <v>217</v>
      </c>
      <c r="F33" s="386"/>
      <c r="G33" s="394"/>
      <c r="H33" s="394"/>
      <c r="I33" s="395"/>
      <c r="J33" s="731"/>
      <c r="K33" s="378"/>
    </row>
    <row r="34" spans="1:12" ht="11.25" customHeight="1">
      <c r="C34" s="376"/>
      <c r="D34" s="389" t="s">
        <v>218</v>
      </c>
      <c r="E34" s="393" t="s">
        <v>205</v>
      </c>
      <c r="F34" s="386" t="s">
        <v>51</v>
      </c>
      <c r="G34" s="391"/>
      <c r="H34" s="391"/>
      <c r="I34" s="392">
        <v>33</v>
      </c>
      <c r="J34" s="731"/>
      <c r="K34" s="378"/>
      <c r="L34" s="375">
        <v>100</v>
      </c>
    </row>
    <row r="35" spans="1:12" ht="12.75" customHeight="1">
      <c r="C35" s="376"/>
      <c r="D35" s="389" t="s">
        <v>219</v>
      </c>
      <c r="E35" s="393" t="s">
        <v>207</v>
      </c>
      <c r="F35" s="386" t="s">
        <v>189</v>
      </c>
      <c r="G35" s="398">
        <f>G23*G34/100</f>
        <v>0</v>
      </c>
      <c r="H35" s="398">
        <f>H23*H34/100</f>
        <v>0</v>
      </c>
      <c r="I35" s="395">
        <f>I23*I34/100</f>
        <v>5557.1085503999993</v>
      </c>
      <c r="J35" s="732"/>
      <c r="K35" s="378"/>
    </row>
    <row r="36" spans="1:12" ht="24" customHeight="1">
      <c r="C36" s="376"/>
      <c r="D36" s="389" t="s">
        <v>220</v>
      </c>
      <c r="E36" s="393" t="s">
        <v>221</v>
      </c>
      <c r="F36" s="386"/>
      <c r="G36" s="394"/>
      <c r="H36" s="394"/>
      <c r="I36" s="395"/>
      <c r="J36" s="388"/>
      <c r="K36" s="378"/>
    </row>
    <row r="37" spans="1:12" ht="12.75" customHeight="1">
      <c r="C37" s="376"/>
      <c r="D37" s="389" t="s">
        <v>222</v>
      </c>
      <c r="E37" s="393" t="s">
        <v>205</v>
      </c>
      <c r="F37" s="386" t="s">
        <v>51</v>
      </c>
      <c r="G37" s="391"/>
      <c r="H37" s="391"/>
      <c r="I37" s="392">
        <v>0</v>
      </c>
      <c r="J37" s="388"/>
      <c r="K37" s="378"/>
    </row>
    <row r="38" spans="1:12" ht="12" customHeight="1">
      <c r="C38" s="376"/>
      <c r="D38" s="389" t="s">
        <v>223</v>
      </c>
      <c r="E38" s="393" t="s">
        <v>207</v>
      </c>
      <c r="F38" s="386" t="s">
        <v>189</v>
      </c>
      <c r="G38" s="398">
        <f>G23*G37/100</f>
        <v>0</v>
      </c>
      <c r="H38" s="398">
        <f>H23*H37/100</f>
        <v>0</v>
      </c>
      <c r="I38" s="395">
        <f>I23*I37/100</f>
        <v>0</v>
      </c>
      <c r="J38" s="388"/>
      <c r="K38" s="378"/>
    </row>
    <row r="39" spans="1:12" ht="24" customHeight="1">
      <c r="C39" s="376"/>
      <c r="D39" s="389" t="s">
        <v>224</v>
      </c>
      <c r="E39" s="393" t="s">
        <v>225</v>
      </c>
      <c r="F39" s="386"/>
      <c r="G39" s="394"/>
      <c r="H39" s="394"/>
      <c r="I39" s="395"/>
      <c r="J39" s="388"/>
      <c r="K39" s="378"/>
    </row>
    <row r="40" spans="1:12" ht="12" customHeight="1">
      <c r="C40" s="376"/>
      <c r="D40" s="389" t="s">
        <v>226</v>
      </c>
      <c r="E40" s="393" t="s">
        <v>205</v>
      </c>
      <c r="F40" s="386" t="s">
        <v>51</v>
      </c>
      <c r="G40" s="391"/>
      <c r="H40" s="391"/>
      <c r="I40" s="392">
        <v>15</v>
      </c>
      <c r="J40" s="388"/>
      <c r="K40" s="378"/>
      <c r="L40" s="375">
        <v>15</v>
      </c>
    </row>
    <row r="41" spans="1:12" ht="19.5" customHeight="1">
      <c r="C41" s="376"/>
      <c r="D41" s="389" t="s">
        <v>227</v>
      </c>
      <c r="E41" s="393" t="s">
        <v>207</v>
      </c>
      <c r="F41" s="386" t="s">
        <v>189</v>
      </c>
      <c r="G41" s="398">
        <f>(G23+G26+G29+G32+G35+G38)*G40/100</f>
        <v>0</v>
      </c>
      <c r="H41" s="398">
        <f>(H23+H26+H29+H32+H35+H38)*H40/100</f>
        <v>0</v>
      </c>
      <c r="I41" s="395">
        <f>(I23+I26+I29+I32+I35+I38)*I40/100</f>
        <v>5632.8873033599984</v>
      </c>
      <c r="J41" s="388"/>
      <c r="K41" s="378"/>
    </row>
    <row r="42" spans="1:12" ht="24.75" customHeight="1">
      <c r="C42" s="376"/>
      <c r="D42" s="389" t="s">
        <v>228</v>
      </c>
      <c r="E42" s="393" t="s">
        <v>229</v>
      </c>
      <c r="F42" s="386" t="s">
        <v>189</v>
      </c>
      <c r="G42" s="398">
        <f>G23+G26+G29+G32+G35+G38+G41</f>
        <v>0</v>
      </c>
      <c r="H42" s="398">
        <f>H23+H26+H29+H32+H35+H38+H41</f>
        <v>0</v>
      </c>
      <c r="I42" s="395">
        <f>I23+I26+I29+I32+I35+I38+I41</f>
        <v>43185.469325759987</v>
      </c>
      <c r="J42" s="388"/>
      <c r="K42" s="378"/>
    </row>
    <row r="43" spans="1:12" ht="24.75" customHeight="1">
      <c r="C43" s="376"/>
      <c r="D43" s="389"/>
      <c r="E43" s="393" t="s">
        <v>230</v>
      </c>
      <c r="F43" s="386" t="s">
        <v>231</v>
      </c>
      <c r="G43" s="391">
        <v>0</v>
      </c>
      <c r="H43" s="391">
        <v>0</v>
      </c>
      <c r="I43" s="392">
        <v>12</v>
      </c>
      <c r="J43" s="388"/>
      <c r="K43" s="378"/>
    </row>
    <row r="44" spans="1:12" s="405" customFormat="1" ht="33.75">
      <c r="A44" s="400"/>
      <c r="B44" s="400"/>
      <c r="C44" s="401"/>
      <c r="D44" s="402">
        <v>3</v>
      </c>
      <c r="E44" s="393" t="s">
        <v>232</v>
      </c>
      <c r="F44" s="386" t="s">
        <v>233</v>
      </c>
      <c r="G44" s="398">
        <f>G14*G42*G43/1000</f>
        <v>0</v>
      </c>
      <c r="H44" s="398">
        <f>H14*H42*H43/1000</f>
        <v>0</v>
      </c>
      <c r="I44" s="395">
        <f>I14*I42*I43/1000</f>
        <v>1768.0409145833794</v>
      </c>
      <c r="J44" s="403"/>
      <c r="K44" s="404"/>
    </row>
    <row r="45" spans="1:12" ht="12.95" customHeight="1" thickBot="1">
      <c r="C45" s="376"/>
      <c r="D45" s="720">
        <v>4</v>
      </c>
      <c r="E45" s="722" t="s">
        <v>123</v>
      </c>
      <c r="F45" s="386" t="s">
        <v>51</v>
      </c>
      <c r="G45" s="391"/>
      <c r="H45" s="391"/>
      <c r="I45" s="392">
        <v>30.3</v>
      </c>
      <c r="J45" s="388"/>
      <c r="K45" s="378"/>
    </row>
    <row r="46" spans="1:12" ht="12" thickBot="1">
      <c r="C46" s="376"/>
      <c r="D46" s="721"/>
      <c r="E46" s="723"/>
      <c r="F46" s="406" t="s">
        <v>233</v>
      </c>
      <c r="G46" s="407">
        <f>G44*G45/100</f>
        <v>0</v>
      </c>
      <c r="H46" s="407">
        <f>H44*H45/100</f>
        <v>0</v>
      </c>
      <c r="I46" s="408">
        <f>I44*I45/100</f>
        <v>535.71639711876401</v>
      </c>
      <c r="J46" s="409"/>
      <c r="K46" s="378"/>
    </row>
    <row r="47" spans="1:12">
      <c r="C47" s="410"/>
      <c r="D47" s="411"/>
      <c r="E47" s="411"/>
      <c r="F47" s="411"/>
      <c r="G47" s="411"/>
      <c r="H47" s="412"/>
      <c r="I47" s="412"/>
      <c r="J47" s="413"/>
      <c r="K47" s="414"/>
    </row>
  </sheetData>
  <sheetProtection selectLockedCells="1" selectUnlockedCells="1"/>
  <protectedRanges>
    <protectedRange sqref="I16:I17" name="p10_edit_5"/>
    <protectedRange sqref="I21:I22" name="p10_edit_1_1"/>
    <protectedRange sqref="I25" name="p10_edit_2_1"/>
    <protectedRange sqref="I28" name="p10_edit_3_1"/>
    <protectedRange sqref="I40" name="p10_edit_4_1"/>
  </protectedRanges>
  <mergeCells count="5">
    <mergeCell ref="D10:I10"/>
    <mergeCell ref="D45:D46"/>
    <mergeCell ref="E45:E46"/>
    <mergeCell ref="C8:K9"/>
    <mergeCell ref="J16:J35"/>
  </mergeCells>
  <phoneticPr fontId="23" type="noConversion"/>
  <dataValidations count="8">
    <dataValidation type="decimal" allowBlank="1" showErrorMessage="1" sqref="G43:H43">
      <formula1>-9.99999999999999E+26</formula1>
      <formula2>9.99999999999999E+25</formula2>
    </dataValidation>
    <dataValidation type="decimal" allowBlank="1" showErrorMessage="1" sqref="G40:H40 G45:H45 G37:H37">
      <formula1>-9.99999999999999E+26</formula1>
      <formula2>9.99999999999999E+27</formula2>
    </dataValidation>
    <dataValidation type="decimal" allowBlank="1" showErrorMessage="1" sqref="G28:H28 G31:H31 G34:H34 G25:H25">
      <formula1>-9.99999999999999E+22</formula1>
      <formula2>9.99999999999999E+23</formula2>
    </dataValidation>
    <dataValidation type="decimal" allowBlank="1" showErrorMessage="1" sqref="G16:H18 G21:H22 G14:H14">
      <formula1>-9.99999999999999E+24</formula1>
      <formula2>9.99999999999999E+26</formula2>
    </dataValidation>
    <dataValidation type="decimal" allowBlank="1" showInputMessage="1" showErrorMessage="1" sqref="I43">
      <formula1>-9.99999999999999E+26</formula1>
      <formula2>9.99999999999999E+25</formula2>
    </dataValidation>
    <dataValidation type="decimal" allowBlank="1" showInputMessage="1" showErrorMessage="1" sqref="I40 I37 I45">
      <formula1>-9.99999999999999E+26</formula1>
      <formula2>9.99999999999999E+27</formula2>
    </dataValidation>
    <dataValidation type="decimal" allowBlank="1" showInputMessage="1" showErrorMessage="1" sqref="I34 I31 I25 I28">
      <formula1>-9.99999999999999E+22</formula1>
      <formula2>9.99999999999999E+23</formula2>
    </dataValidation>
    <dataValidation type="decimal" allowBlank="1" showInputMessage="1" showErrorMessage="1" sqref="I14 I16:I18 I21:I22">
      <formula1>-9.99999999999999E+24</formula1>
      <formula2>9.99999999999999E+26</formula2>
    </dataValidation>
  </dataValidations>
  <pageMargins left="0.39374999999999999" right="0.37986111111111109" top="0.19652777777777777" bottom="0.19652777777777777" header="0.51180555555555551" footer="0.51180555555555551"/>
  <pageSetup paperSize="9" scale="95" firstPageNumber="0"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theme="4"/>
  </sheetPr>
  <dimension ref="A1:R48"/>
  <sheetViews>
    <sheetView topLeftCell="C7" workbookViewId="0">
      <selection activeCell="M21" sqref="M21"/>
    </sheetView>
  </sheetViews>
  <sheetFormatPr defaultRowHeight="11.25"/>
  <cols>
    <col min="1" max="2" width="0" style="373" hidden="1" customWidth="1"/>
    <col min="3" max="3" width="3" style="375" customWidth="1"/>
    <col min="4" max="4" width="6.28515625" style="375" customWidth="1"/>
    <col min="5" max="5" width="29.5703125" style="375" customWidth="1"/>
    <col min="6" max="6" width="9.140625" style="375"/>
    <col min="7" max="7" width="11" style="375" customWidth="1"/>
    <col min="8" max="8" width="8.85546875" style="415" customWidth="1"/>
    <col min="9" max="9" width="13.85546875" style="415" customWidth="1"/>
    <col min="10" max="10" width="6.7109375" style="375" customWidth="1"/>
    <col min="11" max="16384" width="9.140625" style="375"/>
  </cols>
  <sheetData>
    <row r="1" spans="1:18" s="371" customFormat="1" hidden="1">
      <c r="A1" s="370" t="e">
        <f>#REF!</f>
        <v>#REF!</v>
      </c>
      <c r="B1" s="370" t="e">
        <f>#REF!</f>
        <v>#REF!</v>
      </c>
      <c r="C1" s="370" t="e">
        <f>#REF!</f>
        <v>#REF!</v>
      </c>
      <c r="R1" s="416"/>
    </row>
    <row r="2" spans="1:18" s="371" customFormat="1" hidden="1">
      <c r="A2" s="370" t="e">
        <f>#REF!</f>
        <v>#REF!</v>
      </c>
      <c r="B2" s="370" t="e">
        <f>#REF!</f>
        <v>#REF!</v>
      </c>
      <c r="C2" s="370"/>
      <c r="R2" s="416"/>
    </row>
    <row r="3" spans="1:18" s="371" customFormat="1" hidden="1">
      <c r="A3" s="370" t="e">
        <f>#REF!</f>
        <v>#REF!</v>
      </c>
      <c r="B3" s="370" t="e">
        <f>#REF!</f>
        <v>#REF!</v>
      </c>
      <c r="C3" s="370"/>
      <c r="R3" s="416"/>
    </row>
    <row r="4" spans="1:18" s="371" customFormat="1" hidden="1">
      <c r="A4" s="370" t="e">
        <f>#REF!</f>
        <v>#REF!</v>
      </c>
      <c r="B4" s="370" t="e">
        <f>#REF!</f>
        <v>#REF!</v>
      </c>
      <c r="C4" s="370"/>
      <c r="R4" s="416"/>
    </row>
    <row r="5" spans="1:18" s="371" customFormat="1" hidden="1">
      <c r="R5" s="416"/>
    </row>
    <row r="6" spans="1:18" s="373" customFormat="1" hidden="1">
      <c r="H6" s="374"/>
      <c r="I6" s="374"/>
    </row>
    <row r="7" spans="1:18">
      <c r="J7" s="375" t="s">
        <v>693</v>
      </c>
    </row>
    <row r="8" spans="1:18" ht="12.75">
      <c r="C8" s="595"/>
      <c r="D8" s="598"/>
      <c r="E8" s="599"/>
      <c r="F8" s="417"/>
      <c r="G8" s="417"/>
      <c r="H8" s="418"/>
      <c r="I8" s="419"/>
      <c r="J8" s="420"/>
    </row>
    <row r="9" spans="1:18" ht="12" customHeight="1">
      <c r="C9" s="421"/>
      <c r="D9" s="727" t="s">
        <v>234</v>
      </c>
      <c r="E9" s="728"/>
      <c r="F9" s="728"/>
      <c r="G9" s="728"/>
      <c r="H9" s="728"/>
      <c r="I9" s="728"/>
      <c r="J9" s="729"/>
    </row>
    <row r="10" spans="1:18" ht="12" customHeight="1">
      <c r="C10" s="421"/>
      <c r="D10" s="727"/>
      <c r="E10" s="728"/>
      <c r="F10" s="728"/>
      <c r="G10" s="728"/>
      <c r="H10" s="728"/>
      <c r="I10" s="728"/>
      <c r="J10" s="729"/>
    </row>
    <row r="11" spans="1:18" ht="12" customHeight="1">
      <c r="C11" s="421"/>
      <c r="D11" s="737" t="s">
        <v>734</v>
      </c>
      <c r="E11" s="719"/>
      <c r="F11" s="719"/>
      <c r="G11" s="719"/>
      <c r="H11" s="719"/>
      <c r="I11" s="719"/>
      <c r="J11" s="377"/>
    </row>
    <row r="12" spans="1:18" ht="12" customHeight="1" thickBot="1">
      <c r="C12" s="421"/>
      <c r="D12" s="596"/>
      <c r="E12" s="597"/>
      <c r="F12" s="597"/>
      <c r="G12" s="597"/>
      <c r="H12" s="597"/>
      <c r="I12" s="597"/>
      <c r="J12" s="377"/>
    </row>
    <row r="13" spans="1:18" ht="45">
      <c r="C13" s="421"/>
      <c r="D13" s="422" t="s">
        <v>179</v>
      </c>
      <c r="E13" s="423" t="s">
        <v>4</v>
      </c>
      <c r="F13" s="423" t="s">
        <v>180</v>
      </c>
      <c r="G13" s="424" t="s">
        <v>181</v>
      </c>
      <c r="H13" s="424" t="s">
        <v>6</v>
      </c>
      <c r="I13" s="424" t="s">
        <v>810</v>
      </c>
      <c r="J13" s="384" t="s">
        <v>621</v>
      </c>
    </row>
    <row r="14" spans="1:18">
      <c r="C14" s="421"/>
      <c r="D14" s="425">
        <v>1</v>
      </c>
      <c r="E14" s="426">
        <v>2</v>
      </c>
      <c r="F14" s="426">
        <v>3</v>
      </c>
      <c r="G14" s="426">
        <v>4</v>
      </c>
      <c r="H14" s="426">
        <v>5</v>
      </c>
      <c r="I14" s="426">
        <v>6</v>
      </c>
      <c r="J14" s="388"/>
    </row>
    <row r="15" spans="1:18">
      <c r="C15" s="421"/>
      <c r="D15" s="427" t="s">
        <v>182</v>
      </c>
      <c r="E15" s="428" t="s">
        <v>235</v>
      </c>
      <c r="F15" s="426" t="s">
        <v>184</v>
      </c>
      <c r="G15" s="429"/>
      <c r="H15" s="429"/>
      <c r="I15" s="430">
        <v>0</v>
      </c>
      <c r="J15" s="388"/>
    </row>
    <row r="16" spans="1:18">
      <c r="C16" s="421"/>
      <c r="D16" s="427" t="s">
        <v>185</v>
      </c>
      <c r="E16" s="431" t="s">
        <v>186</v>
      </c>
      <c r="F16" s="426"/>
      <c r="G16" s="432"/>
      <c r="H16" s="432"/>
      <c r="I16" s="433"/>
      <c r="J16" s="388"/>
    </row>
    <row r="17" spans="3:10" ht="22.5">
      <c r="C17" s="421"/>
      <c r="D17" s="434" t="s">
        <v>187</v>
      </c>
      <c r="E17" s="431" t="s">
        <v>188</v>
      </c>
      <c r="F17" s="426" t="s">
        <v>189</v>
      </c>
      <c r="G17" s="429"/>
      <c r="H17" s="429"/>
      <c r="I17" s="430">
        <v>0</v>
      </c>
      <c r="J17" s="388"/>
    </row>
    <row r="18" spans="3:10">
      <c r="C18" s="421"/>
      <c r="D18" s="434"/>
      <c r="E18" s="431" t="s">
        <v>190</v>
      </c>
      <c r="F18" s="426"/>
      <c r="G18" s="429"/>
      <c r="H18" s="429"/>
      <c r="I18" s="430">
        <v>1</v>
      </c>
      <c r="J18" s="388"/>
    </row>
    <row r="19" spans="3:10" ht="22.5">
      <c r="C19" s="421"/>
      <c r="D19" s="434"/>
      <c r="E19" s="431" t="s">
        <v>191</v>
      </c>
      <c r="F19" s="426" t="s">
        <v>189</v>
      </c>
      <c r="G19" s="435">
        <f>G17*G18</f>
        <v>0</v>
      </c>
      <c r="H19" s="435">
        <f>H17*H18</f>
        <v>0</v>
      </c>
      <c r="I19" s="433">
        <f>I17*I18</f>
        <v>0</v>
      </c>
      <c r="J19" s="388"/>
    </row>
    <row r="20" spans="3:10">
      <c r="C20" s="421"/>
      <c r="D20" s="427" t="s">
        <v>192</v>
      </c>
      <c r="E20" s="431" t="s">
        <v>193</v>
      </c>
      <c r="F20" s="426"/>
      <c r="G20" s="429"/>
      <c r="H20" s="429"/>
      <c r="I20" s="430">
        <v>1</v>
      </c>
      <c r="J20" s="388"/>
    </row>
    <row r="21" spans="3:10" ht="22.5">
      <c r="C21" s="421"/>
      <c r="D21" s="427" t="s">
        <v>194</v>
      </c>
      <c r="E21" s="431" t="s">
        <v>195</v>
      </c>
      <c r="F21" s="426" t="s">
        <v>189</v>
      </c>
      <c r="G21" s="435">
        <f>G19*G20</f>
        <v>0</v>
      </c>
      <c r="H21" s="435">
        <f>H19*H20</f>
        <v>0</v>
      </c>
      <c r="I21" s="433">
        <f>I19*I20</f>
        <v>0</v>
      </c>
      <c r="J21" s="388"/>
    </row>
    <row r="22" spans="3:10">
      <c r="C22" s="421"/>
      <c r="D22" s="427" t="s">
        <v>196</v>
      </c>
      <c r="E22" s="436" t="s">
        <v>197</v>
      </c>
      <c r="F22" s="426"/>
      <c r="G22" s="429"/>
      <c r="H22" s="429"/>
      <c r="I22" s="430">
        <v>0</v>
      </c>
      <c r="J22" s="388"/>
    </row>
    <row r="23" spans="3:10" ht="33.75">
      <c r="C23" s="421"/>
      <c r="D23" s="427" t="s">
        <v>198</v>
      </c>
      <c r="E23" s="431" t="s">
        <v>199</v>
      </c>
      <c r="F23" s="426"/>
      <c r="G23" s="429"/>
      <c r="H23" s="429"/>
      <c r="I23" s="430">
        <v>1</v>
      </c>
      <c r="J23" s="388"/>
    </row>
    <row r="24" spans="3:10" ht="22.5">
      <c r="C24" s="421"/>
      <c r="D24" s="427" t="s">
        <v>200</v>
      </c>
      <c r="E24" s="431" t="s">
        <v>201</v>
      </c>
      <c r="F24" s="426"/>
      <c r="G24" s="435">
        <f>G21*G23</f>
        <v>0</v>
      </c>
      <c r="H24" s="435">
        <f>H21*H23</f>
        <v>0</v>
      </c>
      <c r="I24" s="433">
        <f>I23*I18*I17</f>
        <v>0</v>
      </c>
      <c r="J24" s="388"/>
    </row>
    <row r="25" spans="3:10" ht="33.75">
      <c r="C25" s="421"/>
      <c r="D25" s="427" t="s">
        <v>202</v>
      </c>
      <c r="E25" s="431" t="s">
        <v>203</v>
      </c>
      <c r="F25" s="426"/>
      <c r="G25" s="432"/>
      <c r="H25" s="432"/>
      <c r="I25" s="433"/>
      <c r="J25" s="388"/>
    </row>
    <row r="26" spans="3:10" ht="12.75" customHeight="1">
      <c r="C26" s="421"/>
      <c r="D26" s="427" t="s">
        <v>204</v>
      </c>
      <c r="E26" s="431" t="s">
        <v>205</v>
      </c>
      <c r="F26" s="426" t="s">
        <v>51</v>
      </c>
      <c r="G26" s="429"/>
      <c r="H26" s="429"/>
      <c r="I26" s="430">
        <v>0</v>
      </c>
      <c r="J26" s="388"/>
    </row>
    <row r="27" spans="3:10" ht="12.75" customHeight="1">
      <c r="C27" s="421"/>
      <c r="D27" s="427" t="s">
        <v>206</v>
      </c>
      <c r="E27" s="431" t="s">
        <v>207</v>
      </c>
      <c r="F27" s="426" t="s">
        <v>189</v>
      </c>
      <c r="G27" s="435">
        <f>G24*G26/100</f>
        <v>0</v>
      </c>
      <c r="H27" s="435">
        <f>H24*H26/100</f>
        <v>0</v>
      </c>
      <c r="I27" s="433">
        <f>I24*I26/100</f>
        <v>0</v>
      </c>
      <c r="J27" s="388"/>
    </row>
    <row r="28" spans="3:10" ht="13.5" customHeight="1">
      <c r="C28" s="421"/>
      <c r="D28" s="427" t="s">
        <v>208</v>
      </c>
      <c r="E28" s="431" t="s">
        <v>209</v>
      </c>
      <c r="F28" s="426"/>
      <c r="G28" s="432"/>
      <c r="H28" s="432"/>
      <c r="I28" s="433"/>
      <c r="J28" s="388"/>
    </row>
    <row r="29" spans="3:10" ht="12.75" customHeight="1">
      <c r="C29" s="421"/>
      <c r="D29" s="427" t="s">
        <v>210</v>
      </c>
      <c r="E29" s="431" t="s">
        <v>205</v>
      </c>
      <c r="F29" s="426" t="s">
        <v>51</v>
      </c>
      <c r="G29" s="429"/>
      <c r="H29" s="429"/>
      <c r="I29" s="430">
        <v>0</v>
      </c>
      <c r="J29" s="388"/>
    </row>
    <row r="30" spans="3:10" ht="12.75" customHeight="1">
      <c r="C30" s="421"/>
      <c r="D30" s="427" t="s">
        <v>211</v>
      </c>
      <c r="E30" s="431" t="s">
        <v>207</v>
      </c>
      <c r="F30" s="426" t="s">
        <v>189</v>
      </c>
      <c r="G30" s="435">
        <f>(G24+G27)*G29/100</f>
        <v>0</v>
      </c>
      <c r="H30" s="435">
        <f>(H24+H27)*H29/100</f>
        <v>0</v>
      </c>
      <c r="I30" s="433">
        <f>(I24+I27)*I29/100</f>
        <v>0</v>
      </c>
      <c r="J30" s="388"/>
    </row>
    <row r="31" spans="3:10" ht="12.75" customHeight="1">
      <c r="C31" s="421"/>
      <c r="D31" s="427" t="s">
        <v>212</v>
      </c>
      <c r="E31" s="431" t="s">
        <v>213</v>
      </c>
      <c r="F31" s="426"/>
      <c r="G31" s="432"/>
      <c r="H31" s="432"/>
      <c r="I31" s="433"/>
      <c r="J31" s="388"/>
    </row>
    <row r="32" spans="3:10" ht="13.5" customHeight="1">
      <c r="C32" s="421"/>
      <c r="D32" s="427" t="s">
        <v>214</v>
      </c>
      <c r="E32" s="431" t="s">
        <v>205</v>
      </c>
      <c r="F32" s="426" t="s">
        <v>51</v>
      </c>
      <c r="G32" s="429"/>
      <c r="H32" s="429"/>
      <c r="I32" s="430">
        <v>0</v>
      </c>
      <c r="J32" s="388"/>
    </row>
    <row r="33" spans="1:10" ht="12" customHeight="1">
      <c r="C33" s="421"/>
      <c r="D33" s="427" t="s">
        <v>215</v>
      </c>
      <c r="E33" s="431" t="s">
        <v>207</v>
      </c>
      <c r="F33" s="426" t="s">
        <v>189</v>
      </c>
      <c r="G33" s="435">
        <f>G24*G32/100</f>
        <v>0</v>
      </c>
      <c r="H33" s="435">
        <f>H24*H32/100</f>
        <v>0</v>
      </c>
      <c r="I33" s="433">
        <f>I24*I32/100</f>
        <v>0</v>
      </c>
      <c r="J33" s="388"/>
    </row>
    <row r="34" spans="1:10" ht="11.25" customHeight="1">
      <c r="C34" s="421"/>
      <c r="D34" s="427" t="s">
        <v>216</v>
      </c>
      <c r="E34" s="431" t="s">
        <v>217</v>
      </c>
      <c r="F34" s="426"/>
      <c r="G34" s="432"/>
      <c r="H34" s="432"/>
      <c r="I34" s="433"/>
      <c r="J34" s="388"/>
    </row>
    <row r="35" spans="1:10" ht="11.25" customHeight="1">
      <c r="C35" s="421"/>
      <c r="D35" s="427" t="s">
        <v>218</v>
      </c>
      <c r="E35" s="431" t="s">
        <v>205</v>
      </c>
      <c r="F35" s="426" t="s">
        <v>51</v>
      </c>
      <c r="G35" s="429"/>
      <c r="H35" s="429"/>
      <c r="I35" s="430"/>
      <c r="J35" s="388"/>
    </row>
    <row r="36" spans="1:10" ht="12.75" customHeight="1">
      <c r="C36" s="421"/>
      <c r="D36" s="427" t="s">
        <v>219</v>
      </c>
      <c r="E36" s="431" t="s">
        <v>207</v>
      </c>
      <c r="F36" s="426" t="s">
        <v>189</v>
      </c>
      <c r="G36" s="435">
        <f>G24*G35/100</f>
        <v>0</v>
      </c>
      <c r="H36" s="435">
        <f>H24*H35/100</f>
        <v>0</v>
      </c>
      <c r="I36" s="433">
        <f>I24*I35/100</f>
        <v>0</v>
      </c>
      <c r="J36" s="388"/>
    </row>
    <row r="37" spans="1:10" ht="24" customHeight="1">
      <c r="C37" s="421"/>
      <c r="D37" s="427" t="s">
        <v>220</v>
      </c>
      <c r="E37" s="431" t="s">
        <v>221</v>
      </c>
      <c r="F37" s="426"/>
      <c r="G37" s="432"/>
      <c r="H37" s="432"/>
      <c r="I37" s="433"/>
      <c r="J37" s="388"/>
    </row>
    <row r="38" spans="1:10" ht="12.75" customHeight="1">
      <c r="C38" s="421"/>
      <c r="D38" s="427" t="s">
        <v>222</v>
      </c>
      <c r="E38" s="431" t="s">
        <v>205</v>
      </c>
      <c r="F38" s="426" t="s">
        <v>51</v>
      </c>
      <c r="G38" s="429"/>
      <c r="H38" s="429"/>
      <c r="I38" s="430">
        <v>0</v>
      </c>
      <c r="J38" s="388"/>
    </row>
    <row r="39" spans="1:10" ht="12" customHeight="1">
      <c r="C39" s="421"/>
      <c r="D39" s="427" t="s">
        <v>223</v>
      </c>
      <c r="E39" s="431" t="s">
        <v>207</v>
      </c>
      <c r="F39" s="426" t="s">
        <v>189</v>
      </c>
      <c r="G39" s="435">
        <f>G24*G38/100</f>
        <v>0</v>
      </c>
      <c r="H39" s="435">
        <f>H24*H38/100</f>
        <v>0</v>
      </c>
      <c r="I39" s="433">
        <f>I24*I38/100</f>
        <v>0</v>
      </c>
      <c r="J39" s="388"/>
    </row>
    <row r="40" spans="1:10" ht="24" customHeight="1">
      <c r="C40" s="421"/>
      <c r="D40" s="427" t="s">
        <v>224</v>
      </c>
      <c r="E40" s="431" t="s">
        <v>225</v>
      </c>
      <c r="F40" s="426"/>
      <c r="G40" s="432"/>
      <c r="H40" s="432"/>
      <c r="I40" s="433"/>
      <c r="J40" s="388"/>
    </row>
    <row r="41" spans="1:10" ht="12" customHeight="1">
      <c r="C41" s="421"/>
      <c r="D41" s="427" t="s">
        <v>226</v>
      </c>
      <c r="E41" s="431" t="s">
        <v>205</v>
      </c>
      <c r="F41" s="426" t="s">
        <v>51</v>
      </c>
      <c r="G41" s="429"/>
      <c r="H41" s="429"/>
      <c r="I41" s="430">
        <v>0</v>
      </c>
      <c r="J41" s="388"/>
    </row>
    <row r="42" spans="1:10" ht="12.75" customHeight="1">
      <c r="C42" s="421"/>
      <c r="D42" s="427" t="s">
        <v>227</v>
      </c>
      <c r="E42" s="431" t="s">
        <v>207</v>
      </c>
      <c r="F42" s="426" t="s">
        <v>189</v>
      </c>
      <c r="G42" s="435">
        <f>(G24+G27+G30+G33+G36+G39)*G41/100</f>
        <v>0</v>
      </c>
      <c r="H42" s="435">
        <f>(H24+H27+H30+H33+H36+H39)*H41/100</f>
        <v>0</v>
      </c>
      <c r="I42" s="433">
        <f>(I24+I27+I30+I33+I36+I39)*I41/100</f>
        <v>0</v>
      </c>
      <c r="J42" s="388"/>
    </row>
    <row r="43" spans="1:10" ht="24.75" customHeight="1">
      <c r="C43" s="421"/>
      <c r="D43" s="427" t="s">
        <v>228</v>
      </c>
      <c r="E43" s="431" t="s">
        <v>229</v>
      </c>
      <c r="F43" s="426" t="s">
        <v>189</v>
      </c>
      <c r="G43" s="435">
        <f>G24+G27+G30+G33+G36+G39+G42</f>
        <v>0</v>
      </c>
      <c r="H43" s="435">
        <f>H24+H27+H30+H33+H36+H39+H42</f>
        <v>0</v>
      </c>
      <c r="I43" s="433">
        <f>I24+I27+I30+I33+I36+I39+I42</f>
        <v>0</v>
      </c>
      <c r="J43" s="388"/>
    </row>
    <row r="44" spans="1:10" ht="24.75" customHeight="1">
      <c r="C44" s="421"/>
      <c r="D44" s="427"/>
      <c r="E44" s="431" t="s">
        <v>230</v>
      </c>
      <c r="F44" s="426" t="s">
        <v>231</v>
      </c>
      <c r="G44" s="429">
        <v>0</v>
      </c>
      <c r="H44" s="429">
        <v>0</v>
      </c>
      <c r="I44" s="430">
        <v>12</v>
      </c>
      <c r="J44" s="388"/>
    </row>
    <row r="45" spans="1:10" s="405" customFormat="1" ht="33.75">
      <c r="A45" s="400"/>
      <c r="B45" s="400"/>
      <c r="C45" s="437"/>
      <c r="D45" s="438">
        <v>3</v>
      </c>
      <c r="E45" s="431" t="s">
        <v>232</v>
      </c>
      <c r="F45" s="426" t="s">
        <v>233</v>
      </c>
      <c r="G45" s="435">
        <f>G15*G43*G44/1000</f>
        <v>0</v>
      </c>
      <c r="H45" s="435">
        <f>H15*H43*H44/1000</f>
        <v>0</v>
      </c>
      <c r="I45" s="433">
        <f>I15*I43*I44/1000</f>
        <v>0</v>
      </c>
      <c r="J45" s="403"/>
    </row>
    <row r="46" spans="1:10" ht="12.95" customHeight="1">
      <c r="C46" s="421"/>
      <c r="D46" s="733">
        <v>4</v>
      </c>
      <c r="E46" s="735" t="s">
        <v>123</v>
      </c>
      <c r="F46" s="426" t="s">
        <v>51</v>
      </c>
      <c r="G46" s="429"/>
      <c r="H46" s="429"/>
      <c r="I46" s="430">
        <v>0</v>
      </c>
      <c r="J46" s="388"/>
    </row>
    <row r="47" spans="1:10" ht="12" thickBot="1">
      <c r="C47" s="421"/>
      <c r="D47" s="734"/>
      <c r="E47" s="736"/>
      <c r="F47" s="439" t="s">
        <v>233</v>
      </c>
      <c r="G47" s="440">
        <f>G45*G46/100</f>
        <v>0</v>
      </c>
      <c r="H47" s="440">
        <f>H45*H46/100</f>
        <v>0</v>
      </c>
      <c r="I47" s="441">
        <f>I45*I46/100</f>
        <v>0</v>
      </c>
      <c r="J47" s="409"/>
    </row>
    <row r="48" spans="1:10">
      <c r="C48" s="442"/>
      <c r="D48" s="443"/>
      <c r="E48" s="443"/>
      <c r="F48" s="443"/>
      <c r="G48" s="443"/>
      <c r="H48" s="444"/>
      <c r="I48" s="444"/>
      <c r="J48" s="445"/>
    </row>
  </sheetData>
  <sheetProtection selectLockedCells="1" selectUnlockedCells="1"/>
  <protectedRanges>
    <protectedRange sqref="I17:I18" name="p10_edit_5"/>
    <protectedRange sqref="I22:I23" name="p10_edit_1_1"/>
    <protectedRange sqref="I26" name="p10_edit_2_1"/>
    <protectedRange sqref="I29" name="p10_edit_3_1"/>
    <protectedRange sqref="I41" name="p10_edit_4_1"/>
  </protectedRanges>
  <mergeCells count="4">
    <mergeCell ref="D46:D47"/>
    <mergeCell ref="E46:E47"/>
    <mergeCell ref="D11:I11"/>
    <mergeCell ref="D9:J10"/>
  </mergeCells>
  <phoneticPr fontId="23" type="noConversion"/>
  <dataValidations count="5">
    <dataValidation type="decimal" allowBlank="1" showErrorMessage="1" sqref="G17:H19 G22:H23 G26:H26 G29:H29 G32:H32 G35:H35 G38:H38 G41:H41 G44:H44 G46:H46 G15:H15">
      <formula1>-9.99999999999999E+26</formula1>
      <formula2>9.99999999999999E+30</formula2>
    </dataValidation>
    <dataValidation type="decimal" allowBlank="1" showInputMessage="1" showErrorMessage="1" sqref="I15 I17:I19 I22:I23">
      <formula1>-9.99999999999999E+24</formula1>
      <formula2>9.99999999999999E+26</formula2>
    </dataValidation>
    <dataValidation type="decimal" allowBlank="1" showInputMessage="1" showErrorMessage="1" sqref="I35 I32 I26 I29">
      <formula1>-9.99999999999999E+22</formula1>
      <formula2>9.99999999999999E+23</formula2>
    </dataValidation>
    <dataValidation type="decimal" allowBlank="1" showInputMessage="1" showErrorMessage="1" sqref="I41 I38 I46">
      <formula1>-9.99999999999999E+26</formula1>
      <formula2>9.99999999999999E+27</formula2>
    </dataValidation>
    <dataValidation type="decimal" allowBlank="1" showInputMessage="1" showErrorMessage="1" sqref="I44">
      <formula1>-9.99999999999999E+26</formula1>
      <formula2>9.99999999999999E+25</formula2>
    </dataValidation>
  </dataValidations>
  <pageMargins left="0.4201388888888889" right="0.4201388888888889" top="0.98402777777777772" bottom="0.98402777777777772" header="0.51180555555555551" footer="0.51180555555555551"/>
  <pageSetup paperSize="9" scale="95" firstPageNumber="0"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IV25"/>
  <sheetViews>
    <sheetView zoomScale="75" zoomScaleNormal="75" workbookViewId="0">
      <selection activeCell="D5" sqref="D1:D1048576"/>
    </sheetView>
  </sheetViews>
  <sheetFormatPr defaultRowHeight="12.75"/>
  <cols>
    <col min="1" max="1" width="56.28515625" style="170" customWidth="1"/>
    <col min="2" max="2" width="12.85546875" style="170" customWidth="1"/>
    <col min="3" max="3" width="9.5703125" style="170" customWidth="1"/>
    <col min="4" max="4" width="10.28515625" style="170" customWidth="1"/>
    <col min="5" max="5" width="13.7109375" style="170" customWidth="1"/>
    <col min="6" max="6" width="13.140625" style="170" customWidth="1"/>
    <col min="7" max="7" width="14.28515625" style="170" customWidth="1"/>
    <col min="8" max="8" width="9.5703125" style="170" customWidth="1"/>
    <col min="9" max="9" width="12.85546875" style="170" hidden="1" customWidth="1"/>
    <col min="10" max="16384" width="9.140625" style="170"/>
  </cols>
  <sheetData>
    <row r="1" spans="1:256" ht="15.75">
      <c r="A1" s="712" t="s">
        <v>734</v>
      </c>
      <c r="B1" s="712"/>
      <c r="C1" s="712"/>
      <c r="D1" s="712"/>
      <c r="E1" s="712"/>
      <c r="F1" s="712"/>
      <c r="G1" s="712"/>
      <c r="H1" s="712"/>
      <c r="I1" s="197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  <c r="IM1" s="156"/>
      <c r="IN1" s="156"/>
      <c r="IO1" s="156"/>
      <c r="IP1" s="156"/>
      <c r="IQ1" s="156"/>
      <c r="IR1" s="156"/>
      <c r="IS1" s="156"/>
      <c r="IT1" s="156"/>
      <c r="IU1" s="156"/>
      <c r="IV1" s="156"/>
    </row>
    <row r="2" spans="1:256" ht="15">
      <c r="A2" s="741" t="s">
        <v>489</v>
      </c>
      <c r="B2" s="741"/>
      <c r="C2" s="741"/>
      <c r="D2" s="741"/>
      <c r="E2" s="741"/>
      <c r="F2" s="741"/>
      <c r="G2" s="741"/>
      <c r="H2" s="741"/>
      <c r="I2" s="198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  <c r="IU2" s="156"/>
      <c r="IV2" s="156"/>
    </row>
    <row r="3" spans="1:256" ht="15">
      <c r="A3" s="741" t="s">
        <v>547</v>
      </c>
      <c r="B3" s="741"/>
      <c r="C3" s="741"/>
      <c r="D3" s="741"/>
      <c r="E3" s="741"/>
      <c r="F3" s="741"/>
      <c r="G3" s="741"/>
      <c r="H3" s="741"/>
      <c r="I3" s="198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  <c r="HT3" s="156"/>
      <c r="HU3" s="156"/>
      <c r="HV3" s="156"/>
      <c r="HW3" s="156"/>
      <c r="HX3" s="156"/>
      <c r="HY3" s="156"/>
      <c r="HZ3" s="156"/>
      <c r="IA3" s="156"/>
      <c r="IB3" s="156"/>
      <c r="IC3" s="156"/>
      <c r="ID3" s="156"/>
      <c r="IE3" s="156"/>
      <c r="IF3" s="156"/>
      <c r="IG3" s="156"/>
      <c r="IH3" s="156"/>
      <c r="II3" s="156"/>
      <c r="IJ3" s="156"/>
      <c r="IK3" s="156"/>
      <c r="IL3" s="156"/>
      <c r="IM3" s="156"/>
      <c r="IN3" s="156"/>
      <c r="IO3" s="156"/>
      <c r="IP3" s="156"/>
      <c r="IQ3" s="156"/>
      <c r="IR3" s="156"/>
      <c r="IS3" s="156"/>
      <c r="IT3" s="156"/>
      <c r="IU3" s="156"/>
      <c r="IV3" s="156"/>
    </row>
    <row r="4" spans="1:256" ht="15">
      <c r="A4" s="741" t="s">
        <v>548</v>
      </c>
      <c r="B4" s="741"/>
      <c r="C4" s="741"/>
      <c r="D4" s="741"/>
      <c r="E4" s="741"/>
      <c r="F4" s="741"/>
      <c r="G4" s="741"/>
      <c r="H4" s="741"/>
      <c r="I4" s="741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  <c r="IH4" s="156"/>
      <c r="II4" s="156"/>
      <c r="IJ4" s="156"/>
      <c r="IK4" s="156"/>
      <c r="IL4" s="156"/>
      <c r="IM4" s="156"/>
      <c r="IN4" s="156"/>
      <c r="IO4" s="156"/>
      <c r="IP4" s="156"/>
      <c r="IQ4" s="156"/>
      <c r="IR4" s="156"/>
      <c r="IS4" s="156"/>
      <c r="IT4" s="156"/>
      <c r="IU4" s="156"/>
      <c r="IV4" s="156"/>
    </row>
    <row r="5" spans="1:256" ht="60">
      <c r="A5" s="157" t="s">
        <v>549</v>
      </c>
      <c r="B5" s="157" t="s">
        <v>550</v>
      </c>
      <c r="C5" s="157" t="s">
        <v>813</v>
      </c>
      <c r="D5" s="157" t="s">
        <v>551</v>
      </c>
      <c r="E5" s="157" t="s">
        <v>552</v>
      </c>
      <c r="F5" s="157" t="s">
        <v>551</v>
      </c>
      <c r="G5" s="157" t="s">
        <v>496</v>
      </c>
      <c r="H5" s="157" t="s">
        <v>497</v>
      </c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  <c r="IL5" s="156"/>
      <c r="IM5" s="156"/>
      <c r="IN5" s="156"/>
      <c r="IO5" s="156"/>
      <c r="IP5" s="156"/>
      <c r="IQ5" s="156"/>
      <c r="IR5" s="156"/>
      <c r="IS5" s="156"/>
      <c r="IT5" s="156"/>
      <c r="IU5" s="156"/>
      <c r="IV5" s="156"/>
    </row>
    <row r="6" spans="1:256" ht="15">
      <c r="A6" s="199">
        <v>1</v>
      </c>
      <c r="B6" s="199">
        <v>2</v>
      </c>
      <c r="C6" s="199">
        <v>3</v>
      </c>
      <c r="D6" s="199"/>
      <c r="E6" s="199">
        <v>4</v>
      </c>
      <c r="F6" s="199">
        <v>5</v>
      </c>
      <c r="G6" s="199">
        <v>6</v>
      </c>
      <c r="H6" s="199">
        <v>7</v>
      </c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  <c r="IR6" s="156"/>
      <c r="IS6" s="156"/>
      <c r="IT6" s="156"/>
      <c r="IU6" s="156"/>
      <c r="IV6" s="156"/>
    </row>
    <row r="7" spans="1:256" ht="15">
      <c r="A7" s="200" t="s">
        <v>553</v>
      </c>
      <c r="B7" s="742" t="s">
        <v>554</v>
      </c>
      <c r="C7" s="742" t="s">
        <v>184</v>
      </c>
      <c r="D7" s="250">
        <v>100</v>
      </c>
      <c r="E7" s="202">
        <v>2</v>
      </c>
      <c r="F7" s="202">
        <f>'численность ПП'!G$41</f>
        <v>3.4117203119999999</v>
      </c>
      <c r="G7" s="203">
        <f>F7*E7/D7</f>
        <v>6.8234406240000003E-2</v>
      </c>
      <c r="H7" s="745" t="s">
        <v>555</v>
      </c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  <c r="HZ7" s="156"/>
      <c r="IA7" s="156"/>
      <c r="IB7" s="156"/>
      <c r="IC7" s="156"/>
      <c r="ID7" s="156"/>
      <c r="IE7" s="156"/>
      <c r="IF7" s="156"/>
      <c r="IG7" s="156"/>
      <c r="IH7" s="156"/>
      <c r="II7" s="156"/>
      <c r="IJ7" s="156"/>
      <c r="IK7" s="156"/>
      <c r="IL7" s="156"/>
      <c r="IM7" s="156"/>
      <c r="IN7" s="156"/>
      <c r="IO7" s="156"/>
      <c r="IP7" s="156"/>
      <c r="IQ7" s="156"/>
      <c r="IR7" s="156"/>
      <c r="IS7" s="156"/>
      <c r="IT7" s="156"/>
      <c r="IU7" s="156"/>
      <c r="IV7" s="156"/>
    </row>
    <row r="8" spans="1:256" ht="15">
      <c r="A8" s="200" t="s">
        <v>556</v>
      </c>
      <c r="B8" s="743"/>
      <c r="C8" s="743"/>
      <c r="D8" s="250">
        <v>100</v>
      </c>
      <c r="E8" s="202">
        <v>3</v>
      </c>
      <c r="F8" s="202">
        <f>'численность ПП'!G$41</f>
        <v>3.4117203119999999</v>
      </c>
      <c r="G8" s="203">
        <f t="shared" ref="G8:G14" si="0">F8*E8/D8</f>
        <v>0.10235160936</v>
      </c>
      <c r="H8" s="743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6"/>
      <c r="IK8" s="156"/>
      <c r="IL8" s="156"/>
      <c r="IM8" s="156"/>
      <c r="IN8" s="156"/>
      <c r="IO8" s="156"/>
      <c r="IP8" s="156"/>
      <c r="IQ8" s="156"/>
      <c r="IR8" s="156"/>
      <c r="IS8" s="156"/>
      <c r="IT8" s="156"/>
      <c r="IU8" s="156"/>
      <c r="IV8" s="156"/>
    </row>
    <row r="9" spans="1:256" ht="15">
      <c r="A9" s="200" t="s">
        <v>557</v>
      </c>
      <c r="B9" s="743"/>
      <c r="C9" s="743"/>
      <c r="D9" s="250">
        <v>100</v>
      </c>
      <c r="E9" s="202">
        <v>0.5</v>
      </c>
      <c r="F9" s="202">
        <f>'численность ПП'!G$41</f>
        <v>3.4117203119999999</v>
      </c>
      <c r="G9" s="203">
        <f t="shared" si="0"/>
        <v>1.7058601560000001E-2</v>
      </c>
      <c r="H9" s="743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  <c r="IM9" s="156"/>
      <c r="IN9" s="156"/>
      <c r="IO9" s="156"/>
      <c r="IP9" s="156"/>
      <c r="IQ9" s="156"/>
      <c r="IR9" s="156"/>
      <c r="IS9" s="156"/>
      <c r="IT9" s="156"/>
      <c r="IU9" s="156"/>
      <c r="IV9"/>
    </row>
    <row r="10" spans="1:256" ht="15">
      <c r="A10" s="200" t="s">
        <v>558</v>
      </c>
      <c r="B10" s="743"/>
      <c r="C10" s="743"/>
      <c r="D10" s="250">
        <v>100</v>
      </c>
      <c r="E10" s="202">
        <v>1</v>
      </c>
      <c r="F10" s="202">
        <f>'численность ПП'!G$41</f>
        <v>3.4117203119999999</v>
      </c>
      <c r="G10" s="203">
        <f t="shared" si="0"/>
        <v>3.4117203120000002E-2</v>
      </c>
      <c r="H10" s="743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  <c r="IL10" s="156"/>
      <c r="IM10" s="156"/>
      <c r="IN10" s="156"/>
      <c r="IO10" s="156"/>
      <c r="IP10" s="156"/>
      <c r="IQ10" s="156"/>
      <c r="IR10" s="156"/>
      <c r="IS10" s="156"/>
      <c r="IT10" s="156"/>
      <c r="IU10" s="156"/>
      <c r="IV10"/>
    </row>
    <row r="11" spans="1:256" ht="15">
      <c r="A11" s="200" t="s">
        <v>559</v>
      </c>
      <c r="B11" s="743"/>
      <c r="C11" s="743"/>
      <c r="D11" s="250">
        <v>100</v>
      </c>
      <c r="E11" s="202">
        <v>0.5</v>
      </c>
      <c r="F11" s="202">
        <f>'численность ПП'!G$41</f>
        <v>3.4117203119999999</v>
      </c>
      <c r="G11" s="203">
        <f t="shared" si="0"/>
        <v>1.7058601560000001E-2</v>
      </c>
      <c r="H11" s="743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6"/>
      <c r="IK11" s="156"/>
      <c r="IL11" s="156"/>
      <c r="IM11" s="156"/>
      <c r="IN11" s="156"/>
      <c r="IO11" s="156"/>
      <c r="IP11" s="156"/>
      <c r="IQ11" s="156"/>
      <c r="IR11" s="156"/>
      <c r="IS11" s="156"/>
      <c r="IT11" s="156"/>
      <c r="IU11" s="156"/>
      <c r="IV11"/>
    </row>
    <row r="12" spans="1:256" ht="15">
      <c r="A12" s="200" t="s">
        <v>560</v>
      </c>
      <c r="B12" s="743"/>
      <c r="C12" s="743"/>
      <c r="D12" s="250">
        <v>100</v>
      </c>
      <c r="E12" s="202">
        <v>1</v>
      </c>
      <c r="F12" s="202">
        <f>'численность ПП'!G$41</f>
        <v>3.4117203119999999</v>
      </c>
      <c r="G12" s="203">
        <f t="shared" si="0"/>
        <v>3.4117203120000002E-2</v>
      </c>
      <c r="H12" s="743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  <c r="IA12" s="156"/>
      <c r="IB12" s="156"/>
      <c r="IC12" s="156"/>
      <c r="ID12" s="156"/>
      <c r="IE12" s="156"/>
      <c r="IF12" s="156"/>
      <c r="IG12" s="156"/>
      <c r="IH12" s="156"/>
      <c r="II12" s="156"/>
      <c r="IJ12" s="156"/>
      <c r="IK12" s="156"/>
      <c r="IL12" s="156"/>
      <c r="IM12" s="156"/>
      <c r="IN12" s="156"/>
      <c r="IO12" s="156"/>
      <c r="IP12" s="156"/>
      <c r="IQ12" s="156"/>
      <c r="IR12" s="156"/>
      <c r="IS12" s="156"/>
      <c r="IT12" s="156"/>
      <c r="IU12" s="156"/>
      <c r="IV12"/>
    </row>
    <row r="13" spans="1:256" ht="15">
      <c r="A13" s="200" t="s">
        <v>561</v>
      </c>
      <c r="B13" s="743"/>
      <c r="C13" s="743"/>
      <c r="D13" s="250">
        <v>100</v>
      </c>
      <c r="E13" s="202">
        <v>0.5</v>
      </c>
      <c r="F13" s="202">
        <f>'численность ПП'!G$41</f>
        <v>3.4117203119999999</v>
      </c>
      <c r="G13" s="203">
        <f t="shared" si="0"/>
        <v>1.7058601560000001E-2</v>
      </c>
      <c r="H13" s="743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  <c r="IN13" s="156"/>
      <c r="IO13" s="156"/>
      <c r="IP13" s="156"/>
      <c r="IQ13" s="156"/>
      <c r="IR13" s="156"/>
      <c r="IS13" s="156"/>
      <c r="IT13" s="156"/>
      <c r="IU13" s="156"/>
      <c r="IV13"/>
    </row>
    <row r="14" spans="1:256" ht="30">
      <c r="A14" s="200" t="s">
        <v>562</v>
      </c>
      <c r="B14" s="744"/>
      <c r="C14" s="744"/>
      <c r="D14" s="250">
        <v>100</v>
      </c>
      <c r="E14" s="202">
        <v>1</v>
      </c>
      <c r="F14" s="202">
        <f>'численность ПП'!G$41</f>
        <v>3.4117203119999999</v>
      </c>
      <c r="G14" s="203">
        <f t="shared" si="0"/>
        <v>3.4117203120000002E-2</v>
      </c>
      <c r="H14" s="744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  <c r="IR14" s="156"/>
      <c r="IS14" s="156"/>
      <c r="IT14" s="156"/>
      <c r="IU14" s="156"/>
      <c r="IV14"/>
    </row>
    <row r="15" spans="1:256" ht="15">
      <c r="A15" s="200" t="s">
        <v>409</v>
      </c>
      <c r="B15" s="204"/>
      <c r="C15" s="204"/>
      <c r="D15" s="251"/>
      <c r="E15" s="201"/>
      <c r="F15" s="201"/>
      <c r="G15" s="203">
        <f>SUM(G7:G14)</f>
        <v>0.32411342964000001</v>
      </c>
      <c r="H15" s="204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  <c r="HZ15" s="156"/>
      <c r="IA15" s="156"/>
      <c r="IB15" s="156"/>
      <c r="IC15" s="156"/>
      <c r="ID15" s="156"/>
      <c r="IE15" s="156"/>
      <c r="IF15" s="156"/>
      <c r="IG15" s="156"/>
      <c r="IH15" s="156"/>
      <c r="II15" s="156"/>
      <c r="IJ15" s="156"/>
      <c r="IK15" s="156"/>
      <c r="IL15" s="156"/>
      <c r="IM15" s="156"/>
      <c r="IN15" s="156"/>
      <c r="IO15" s="156"/>
      <c r="IP15" s="156"/>
      <c r="IQ15" s="156"/>
      <c r="IR15" s="156"/>
      <c r="IS15" s="156"/>
      <c r="IT15" s="156"/>
      <c r="IU15" s="156"/>
      <c r="IV15"/>
    </row>
    <row r="16" spans="1:256" ht="15.75">
      <c r="A16" s="205" t="s">
        <v>563</v>
      </c>
      <c r="B16" s="205" t="s">
        <v>564</v>
      </c>
      <c r="C16" s="204"/>
      <c r="D16" s="252">
        <v>3200</v>
      </c>
      <c r="E16" s="201">
        <v>1</v>
      </c>
      <c r="F16" s="239">
        <f>'Прил. 2 П2.1'!J56+'Прил.2 П2.2'!H55</f>
        <v>457.99339999999995</v>
      </c>
      <c r="G16" s="203">
        <f>F16*E16/D16</f>
        <v>0.14312293749999999</v>
      </c>
      <c r="H16" s="204" t="s">
        <v>565</v>
      </c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  <c r="IL16" s="156"/>
      <c r="IM16" s="156"/>
      <c r="IN16" s="156"/>
      <c r="IO16" s="156"/>
      <c r="IP16" s="156"/>
      <c r="IQ16" s="156"/>
      <c r="IR16" s="156"/>
      <c r="IS16" s="156"/>
      <c r="IT16" s="156"/>
      <c r="IU16" s="156"/>
      <c r="IV16" s="156"/>
    </row>
    <row r="17" spans="1:256" ht="31.5">
      <c r="A17" s="206" t="s">
        <v>566</v>
      </c>
      <c r="B17" s="207" t="s">
        <v>567</v>
      </c>
      <c r="C17" s="204"/>
      <c r="D17" s="208">
        <v>10000</v>
      </c>
      <c r="E17" s="208">
        <v>2</v>
      </c>
      <c r="F17" s="208">
        <v>0</v>
      </c>
      <c r="G17" s="209">
        <f>F17*E17/D17</f>
        <v>0</v>
      </c>
      <c r="H17" s="204" t="s">
        <v>429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  <c r="IL17" s="156"/>
      <c r="IM17" s="156"/>
      <c r="IN17" s="156"/>
      <c r="IO17" s="156"/>
      <c r="IP17" s="156"/>
      <c r="IQ17" s="156"/>
      <c r="IR17" s="156"/>
      <c r="IS17" s="156"/>
      <c r="IT17" s="156"/>
      <c r="IU17" s="156"/>
      <c r="IV17" s="156"/>
    </row>
    <row r="18" spans="1:256" ht="105">
      <c r="A18" s="200" t="s">
        <v>568</v>
      </c>
      <c r="B18" s="157" t="s">
        <v>569</v>
      </c>
      <c r="C18" s="163" t="s">
        <v>510</v>
      </c>
      <c r="D18" s="163">
        <v>200</v>
      </c>
      <c r="E18" s="157">
        <v>1</v>
      </c>
      <c r="F18" s="238">
        <v>36</v>
      </c>
      <c r="G18" s="203">
        <f>E18/D18*F18</f>
        <v>0.18</v>
      </c>
      <c r="H18" s="163" t="s">
        <v>570</v>
      </c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  <c r="IB18" s="156"/>
      <c r="IC18" s="156"/>
      <c r="ID18" s="156"/>
      <c r="IE18" s="156"/>
      <c r="IF18" s="156"/>
      <c r="IG18" s="156"/>
      <c r="IH18" s="156"/>
      <c r="II18" s="156"/>
      <c r="IJ18" s="156"/>
      <c r="IK18" s="156"/>
      <c r="IL18" s="156"/>
      <c r="IM18" s="156"/>
      <c r="IN18" s="156"/>
      <c r="IO18" s="156"/>
      <c r="IP18" s="156"/>
      <c r="IQ18" s="156"/>
      <c r="IR18" s="156"/>
      <c r="IS18" s="156"/>
      <c r="IT18" s="156"/>
      <c r="IU18" s="156"/>
      <c r="IV18" s="156"/>
    </row>
    <row r="19" spans="1:256" ht="90">
      <c r="A19" s="200" t="s">
        <v>571</v>
      </c>
      <c r="B19" s="157" t="s">
        <v>572</v>
      </c>
      <c r="C19" s="163" t="s">
        <v>510</v>
      </c>
      <c r="D19" s="163">
        <v>250</v>
      </c>
      <c r="E19" s="157">
        <v>1</v>
      </c>
      <c r="F19" s="253">
        <v>29</v>
      </c>
      <c r="G19" s="203">
        <f>E19/D19*F19</f>
        <v>0.11600000000000001</v>
      </c>
      <c r="H19" s="163" t="s">
        <v>573</v>
      </c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/>
      <c r="HQ19" s="156"/>
      <c r="HR19" s="156"/>
      <c r="HS19" s="156"/>
      <c r="HT19" s="156"/>
      <c r="HU19" s="156"/>
      <c r="HV19" s="156"/>
      <c r="HW19" s="156"/>
      <c r="HX19" s="156"/>
      <c r="HY19" s="156"/>
      <c r="HZ19" s="156"/>
      <c r="IA19" s="156"/>
      <c r="IB19" s="156"/>
      <c r="IC19" s="156"/>
      <c r="ID19" s="156"/>
      <c r="IE19" s="156"/>
      <c r="IF19" s="156"/>
      <c r="IG19" s="156"/>
      <c r="IH19" s="156"/>
      <c r="II19" s="156"/>
      <c r="IJ19" s="156"/>
      <c r="IK19" s="156"/>
      <c r="IL19" s="156"/>
      <c r="IM19" s="156"/>
      <c r="IN19" s="156"/>
      <c r="IO19" s="156"/>
      <c r="IP19" s="156"/>
      <c r="IQ19" s="156"/>
      <c r="IR19" s="156"/>
      <c r="IS19" s="156"/>
      <c r="IT19" s="156"/>
      <c r="IU19" s="156"/>
      <c r="IV19" s="156"/>
    </row>
    <row r="20" spans="1:256" ht="90">
      <c r="A20" s="210" t="s">
        <v>574</v>
      </c>
      <c r="B20" s="201" t="s">
        <v>575</v>
      </c>
      <c r="C20" s="201" t="s">
        <v>184</v>
      </c>
      <c r="D20" s="201">
        <v>30</v>
      </c>
      <c r="E20" s="211">
        <f>1/500*F16</f>
        <v>0.91598679999999988</v>
      </c>
      <c r="F20" s="202">
        <f>'численность ПП'!G$41</f>
        <v>3.4117203119999999</v>
      </c>
      <c r="G20" s="203">
        <f>E20/D20*F20</f>
        <v>0.1041696923694627</v>
      </c>
      <c r="H20" s="212" t="s">
        <v>576</v>
      </c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  <c r="GU20" s="156"/>
      <c r="GV20" s="156"/>
      <c r="GW20" s="156"/>
      <c r="GX20" s="156"/>
      <c r="GY20" s="156"/>
      <c r="GZ20" s="156"/>
      <c r="HA20" s="156"/>
      <c r="HB20" s="156"/>
      <c r="HC20" s="156"/>
      <c r="HD20" s="156"/>
      <c r="HE20" s="156"/>
      <c r="HF20" s="156"/>
      <c r="HG20" s="156"/>
      <c r="HH20" s="156"/>
      <c r="HI20" s="156"/>
      <c r="HJ20" s="156"/>
      <c r="HK20" s="156"/>
      <c r="HL20" s="156"/>
      <c r="HM20" s="156"/>
      <c r="HN20" s="156"/>
      <c r="HO20" s="156"/>
      <c r="HP20" s="156"/>
      <c r="HQ20" s="156"/>
      <c r="HR20" s="156"/>
      <c r="HS20" s="156"/>
      <c r="HT20" s="156"/>
      <c r="HU20" s="156"/>
      <c r="HV20" s="156"/>
      <c r="HW20" s="156"/>
      <c r="HX20" s="156"/>
      <c r="HY20" s="156"/>
      <c r="HZ20" s="156"/>
      <c r="IA20" s="156"/>
      <c r="IB20" s="156"/>
      <c r="IC20" s="156"/>
      <c r="ID20" s="156"/>
      <c r="IE20" s="156"/>
      <c r="IF20" s="156"/>
      <c r="IG20" s="156"/>
      <c r="IH20" s="156"/>
      <c r="II20" s="156"/>
      <c r="IJ20" s="156"/>
      <c r="IK20" s="156"/>
      <c r="IL20" s="156"/>
      <c r="IM20" s="156"/>
      <c r="IN20" s="156"/>
      <c r="IO20" s="156"/>
      <c r="IP20" s="156"/>
      <c r="IQ20" s="156"/>
      <c r="IR20" s="156"/>
      <c r="IS20" s="156"/>
      <c r="IT20" s="156"/>
      <c r="IU20" s="156"/>
      <c r="IV20" s="156"/>
    </row>
    <row r="21" spans="1:256" ht="15">
      <c r="A21" s="738" t="s">
        <v>409</v>
      </c>
      <c r="B21" s="739"/>
      <c r="C21" s="739"/>
      <c r="D21" s="739"/>
      <c r="E21" s="740"/>
      <c r="F21" s="213"/>
      <c r="G21" s="214">
        <f>SUM(G15:G20)</f>
        <v>0.8674060595094627</v>
      </c>
      <c r="H21" s="161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  <c r="IL21" s="156"/>
      <c r="IM21" s="156"/>
      <c r="IN21" s="156"/>
      <c r="IO21" s="156"/>
      <c r="IP21" s="156"/>
      <c r="IQ21" s="156"/>
      <c r="IR21" s="156"/>
      <c r="IS21" s="156"/>
      <c r="IT21" s="156"/>
      <c r="IU21" s="156"/>
      <c r="IV21" s="156"/>
    </row>
    <row r="22" spans="1:256" ht="15">
      <c r="A22" s="215"/>
      <c r="B22" s="215"/>
      <c r="C22" s="215"/>
      <c r="D22" s="215"/>
      <c r="E22" s="215"/>
      <c r="F22" s="215"/>
      <c r="G22" s="216"/>
      <c r="H22" s="217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  <c r="IG22" s="156"/>
      <c r="IH22" s="156"/>
      <c r="II22" s="156"/>
      <c r="IJ22" s="156"/>
      <c r="IK22" s="156"/>
      <c r="IL22" s="156"/>
      <c r="IM22" s="156"/>
      <c r="IN22" s="156"/>
      <c r="IO22" s="156"/>
      <c r="IP22" s="156"/>
      <c r="IQ22" s="156"/>
      <c r="IR22" s="156"/>
      <c r="IS22" s="156"/>
      <c r="IT22" s="156"/>
      <c r="IU22" s="156"/>
      <c r="IV22" s="156"/>
    </row>
    <row r="23" spans="1:256" ht="15">
      <c r="A23" s="191"/>
      <c r="B23" s="191"/>
      <c r="C23" s="191"/>
      <c r="D23" s="191"/>
      <c r="E23" s="192"/>
      <c r="F23" s="192"/>
      <c r="G23" s="193"/>
      <c r="H23" s="194"/>
    </row>
    <row r="25" spans="1:256" ht="18.75">
      <c r="A25" s="196"/>
      <c r="B25" s="195"/>
      <c r="C25" s="195"/>
      <c r="D25" s="195"/>
      <c r="E25" s="195"/>
      <c r="F25" s="196"/>
    </row>
  </sheetData>
  <mergeCells count="8">
    <mergeCell ref="A21:E21"/>
    <mergeCell ref="A1:H1"/>
    <mergeCell ref="A2:H2"/>
    <mergeCell ref="A3:H3"/>
    <mergeCell ref="A4:I4"/>
    <mergeCell ref="B7:B14"/>
    <mergeCell ref="C7:C14"/>
    <mergeCell ref="H7:H14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П1.3</vt:lpstr>
      <vt:lpstr>П1.4</vt:lpstr>
      <vt:lpstr>П1.5</vt:lpstr>
      <vt:lpstr>П1.6</vt:lpstr>
      <vt:lpstr>СОиТК</vt:lpstr>
      <vt:lpstr>численность ПП</vt:lpstr>
      <vt:lpstr>П1.16 ОТ рабочих</vt:lpstr>
      <vt:lpstr>П1.16 ОТ цех. рабочих</vt:lpstr>
      <vt:lpstr>Численность АУП, ИТР</vt:lpstr>
      <vt:lpstr>П1.16 ОТ общехоз. рабочих</vt:lpstr>
      <vt:lpstr>СиМ</vt:lpstr>
      <vt:lpstr>Произв. р.</vt:lpstr>
      <vt:lpstr>Цеховые р.</vt:lpstr>
      <vt:lpstr>Общехоз.р.</vt:lpstr>
      <vt:lpstr>П1.15</vt:lpstr>
      <vt:lpstr>П1.17</vt:lpstr>
      <vt:lpstr>П1.17.1</vt:lpstr>
      <vt:lpstr>П1.21.3</vt:lpstr>
      <vt:lpstr>Прил. 2 П2.1</vt:lpstr>
      <vt:lpstr>Прил.2 П2.2</vt:lpstr>
      <vt:lpstr>Расчет 1</vt:lpstr>
      <vt:lpstr>Расчет на долгосрочный период</vt:lpstr>
      <vt:lpstr>Расчет аренды</vt:lpstr>
      <vt:lpstr>Расчет ср-в защиты и обучение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Булычев ЛЛ</dc:creator>
  <cp:lastModifiedBy>umrovi</cp:lastModifiedBy>
  <cp:lastPrinted>2017-05-11T10:16:46Z</cp:lastPrinted>
  <dcterms:created xsi:type="dcterms:W3CDTF">2013-11-29T06:57:51Z</dcterms:created>
  <dcterms:modified xsi:type="dcterms:W3CDTF">2017-05-11T12:40:17Z</dcterms:modified>
</cp:coreProperties>
</file>